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05" windowWidth="15585" windowHeight="6825" tabRatio="931" activeTab="1"/>
  </bookViews>
  <sheets>
    <sheet name="Top Sheet" sheetId="9" r:id="rId1"/>
    <sheet name="Summary New Year" sheetId="20" r:id="rId2"/>
    <sheet name="New Year-Full Year" sheetId="1" r:id="rId3"/>
  </sheets>
  <definedNames>
    <definedName name="Cur_Actuals">#REF!</definedName>
    <definedName name="Cur_Budget">#REF!</definedName>
    <definedName name="Cur_Month">'Top Sheet'!$C$5</definedName>
    <definedName name="Cur_Year">'Top Sheet'!$C$2</definedName>
    <definedName name="Lookup_Month">#REF!</definedName>
    <definedName name="_xlnm.Print_Titles" localSheetId="2">'New Year-Full Year'!$1:$4</definedName>
    <definedName name="_xlnm.Print_Titles" localSheetId="1">'Summary New Year'!$1:$4</definedName>
    <definedName name="PY_Actual">#REF!</definedName>
  </definedNames>
  <calcPr calcId="145621"/>
</workbook>
</file>

<file path=xl/calcChain.xml><?xml version="1.0" encoding="utf-8"?>
<calcChain xmlns="http://schemas.openxmlformats.org/spreadsheetml/2006/main">
  <c r="I3" i="20" l="1"/>
  <c r="J9" i="20" l="1"/>
  <c r="J10" i="20"/>
  <c r="I9" i="20"/>
  <c r="I10" i="20"/>
  <c r="E58" i="20"/>
  <c r="F58" i="20"/>
  <c r="G58" i="20"/>
  <c r="I58" i="20"/>
  <c r="J58" i="20"/>
  <c r="K58" i="20" s="1"/>
  <c r="J73" i="20"/>
  <c r="J75" i="20"/>
  <c r="J76" i="20"/>
  <c r="J77" i="20"/>
  <c r="J79" i="20"/>
  <c r="J80" i="20"/>
  <c r="J81" i="20"/>
  <c r="I81" i="20"/>
  <c r="I80" i="20"/>
  <c r="I79" i="20"/>
  <c r="I77" i="20"/>
  <c r="I75" i="20"/>
  <c r="I73" i="20"/>
  <c r="I76" i="20"/>
  <c r="F73" i="20"/>
  <c r="F75" i="20"/>
  <c r="F76" i="20"/>
  <c r="F77" i="20"/>
  <c r="F79" i="20"/>
  <c r="F80" i="20"/>
  <c r="F81" i="20"/>
  <c r="E81" i="20"/>
  <c r="E80" i="20"/>
  <c r="E73" i="20"/>
  <c r="H166" i="1"/>
  <c r="H132" i="1"/>
  <c r="O64" i="1" l="1"/>
  <c r="K64" i="1"/>
  <c r="H130" i="1"/>
  <c r="H70" i="1"/>
  <c r="H63" i="1"/>
  <c r="M80" i="1"/>
  <c r="J64" i="1" l="1"/>
  <c r="G77" i="20"/>
  <c r="E77" i="20"/>
  <c r="K77" i="20" l="1"/>
  <c r="K79" i="20"/>
  <c r="E79" i="20"/>
  <c r="K76" i="20"/>
  <c r="G76" i="20"/>
  <c r="E76" i="20"/>
  <c r="K75" i="20"/>
  <c r="E75" i="20"/>
  <c r="E33" i="20"/>
  <c r="F33" i="20"/>
  <c r="I33" i="20"/>
  <c r="J33" i="20"/>
  <c r="O110" i="1"/>
  <c r="K110" i="1"/>
  <c r="J110" i="1"/>
  <c r="I136" i="1"/>
  <c r="H135" i="1"/>
  <c r="N97" i="1"/>
  <c r="O97" i="1" s="1"/>
  <c r="M97" i="1"/>
  <c r="H97" i="1"/>
  <c r="K97" i="1" s="1"/>
  <c r="O96" i="1"/>
  <c r="K96" i="1"/>
  <c r="J96" i="1"/>
  <c r="O95" i="1"/>
  <c r="K95" i="1"/>
  <c r="J95" i="1"/>
  <c r="G95" i="1"/>
  <c r="G79" i="20" l="1"/>
  <c r="K33" i="20"/>
  <c r="G75" i="20"/>
  <c r="G33" i="20"/>
  <c r="J97" i="1"/>
  <c r="J166" i="1"/>
  <c r="J165" i="1"/>
  <c r="J164" i="1"/>
  <c r="J163" i="1"/>
  <c r="J157" i="1"/>
  <c r="J156" i="1"/>
  <c r="J158" i="1" s="1"/>
  <c r="J155" i="1"/>
  <c r="J154" i="1"/>
  <c r="J153" i="1"/>
  <c r="J152" i="1"/>
  <c r="J151" i="1"/>
  <c r="J150" i="1"/>
  <c r="J146" i="1"/>
  <c r="J145" i="1"/>
  <c r="J144" i="1"/>
  <c r="J143" i="1"/>
  <c r="J142" i="1"/>
  <c r="J141" i="1"/>
  <c r="J140" i="1"/>
  <c r="J134" i="1"/>
  <c r="J133" i="1"/>
  <c r="J132" i="1"/>
  <c r="J131" i="1"/>
  <c r="J130" i="1"/>
  <c r="J129" i="1"/>
  <c r="J128" i="1"/>
  <c r="J127" i="1"/>
  <c r="J126" i="1"/>
  <c r="J125" i="1"/>
  <c r="J121" i="1"/>
  <c r="J120" i="1"/>
  <c r="J119" i="1"/>
  <c r="J118" i="1"/>
  <c r="J117" i="1"/>
  <c r="J116" i="1"/>
  <c r="J115" i="1"/>
  <c r="J122" i="1" s="1"/>
  <c r="J111" i="1"/>
  <c r="J109" i="1"/>
  <c r="J108" i="1"/>
  <c r="J107" i="1"/>
  <c r="J106" i="1"/>
  <c r="J105" i="1"/>
  <c r="J112" i="1" s="1"/>
  <c r="J101" i="1"/>
  <c r="J100" i="1"/>
  <c r="J91" i="1"/>
  <c r="J90" i="1"/>
  <c r="J86" i="1"/>
  <c r="J85" i="1"/>
  <c r="J84" i="1"/>
  <c r="J83" i="1"/>
  <c r="J82" i="1"/>
  <c r="J81" i="1"/>
  <c r="J80" i="1"/>
  <c r="J72" i="1"/>
  <c r="J71" i="1"/>
  <c r="J70" i="1"/>
  <c r="J69" i="1"/>
  <c r="J63" i="1"/>
  <c r="J62" i="1"/>
  <c r="J60" i="1"/>
  <c r="J57" i="1"/>
  <c r="J54" i="1"/>
  <c r="J53" i="1"/>
  <c r="J55" i="1" s="1"/>
  <c r="J50" i="1"/>
  <c r="J46" i="1"/>
  <c r="J44" i="1"/>
  <c r="J40" i="1"/>
  <c r="J39" i="1"/>
  <c r="J38" i="1"/>
  <c r="J37" i="1"/>
  <c r="J36" i="1"/>
  <c r="J35" i="1"/>
  <c r="J34" i="1"/>
  <c r="J28" i="1"/>
  <c r="J15" i="1"/>
  <c r="J7" i="1"/>
  <c r="J147" i="1"/>
  <c r="J167" i="1" l="1"/>
  <c r="J135" i="1"/>
  <c r="J102" i="1"/>
  <c r="J92" i="1"/>
  <c r="J41" i="1"/>
  <c r="J87" i="1"/>
  <c r="J159" i="1"/>
  <c r="H164" i="1"/>
  <c r="J136" i="1" l="1"/>
  <c r="I41" i="1"/>
  <c r="H44" i="1"/>
  <c r="H145" i="1" l="1"/>
  <c r="G131" i="1" l="1"/>
  <c r="H131" i="1" s="1"/>
  <c r="G125" i="1"/>
  <c r="H125" i="1" s="1"/>
  <c r="H121" i="1"/>
  <c r="K39" i="1"/>
  <c r="O39" i="1"/>
  <c r="G4" i="20" l="1"/>
  <c r="F4" i="20"/>
  <c r="E4" i="20"/>
  <c r="J4" i="20"/>
  <c r="I4" i="20"/>
  <c r="O50" i="1"/>
  <c r="K50" i="1"/>
  <c r="J44" i="20"/>
  <c r="I44" i="20"/>
  <c r="F44" i="20"/>
  <c r="E44" i="20"/>
  <c r="G44" i="20" l="1"/>
  <c r="K44" i="20"/>
  <c r="J114" i="20" l="1"/>
  <c r="J112" i="20"/>
  <c r="J105" i="20"/>
  <c r="J104" i="20"/>
  <c r="J103" i="20"/>
  <c r="J102" i="20"/>
  <c r="J101" i="20"/>
  <c r="J100" i="20"/>
  <c r="J99" i="20"/>
  <c r="J98" i="20"/>
  <c r="J94" i="20"/>
  <c r="J93" i="20"/>
  <c r="J92" i="20"/>
  <c r="J91" i="20"/>
  <c r="J90" i="20"/>
  <c r="J89" i="20"/>
  <c r="J88" i="20"/>
  <c r="J68" i="20"/>
  <c r="J67" i="20"/>
  <c r="J66" i="20"/>
  <c r="J65" i="20"/>
  <c r="J64" i="20"/>
  <c r="J63" i="20"/>
  <c r="J59" i="20"/>
  <c r="J57" i="20"/>
  <c r="J56" i="20"/>
  <c r="J51" i="20"/>
  <c r="J48" i="20"/>
  <c r="J47" i="20"/>
  <c r="J41" i="20"/>
  <c r="J40" i="20"/>
  <c r="J39" i="20"/>
  <c r="J38" i="20"/>
  <c r="J34" i="20"/>
  <c r="J32" i="20"/>
  <c r="J30" i="20"/>
  <c r="J29" i="20"/>
  <c r="J28" i="20"/>
  <c r="J24" i="20"/>
  <c r="J15" i="20"/>
  <c r="J11" i="20"/>
  <c r="J8" i="20"/>
  <c r="J7" i="20"/>
  <c r="I113" i="20"/>
  <c r="I112" i="20"/>
  <c r="I105" i="20"/>
  <c r="I104" i="20"/>
  <c r="I103" i="20"/>
  <c r="I102" i="20"/>
  <c r="I101" i="20"/>
  <c r="I100" i="20"/>
  <c r="I99" i="20"/>
  <c r="I98" i="20"/>
  <c r="I94" i="20"/>
  <c r="I93" i="20"/>
  <c r="I92" i="20"/>
  <c r="I91" i="20"/>
  <c r="I90" i="20"/>
  <c r="I89" i="20"/>
  <c r="I88" i="20"/>
  <c r="I68" i="20"/>
  <c r="I67" i="20"/>
  <c r="I66" i="20"/>
  <c r="I65" i="20"/>
  <c r="I64" i="20"/>
  <c r="I63" i="20"/>
  <c r="I59" i="20"/>
  <c r="I57" i="20"/>
  <c r="I56" i="20"/>
  <c r="I51" i="20"/>
  <c r="I48" i="20"/>
  <c r="I47" i="20"/>
  <c r="I41" i="20"/>
  <c r="I40" i="20"/>
  <c r="I39" i="20"/>
  <c r="I38" i="20"/>
  <c r="I34" i="20"/>
  <c r="I32" i="20"/>
  <c r="I31" i="20"/>
  <c r="I30" i="20"/>
  <c r="I29" i="20"/>
  <c r="I28" i="20"/>
  <c r="I24" i="20"/>
  <c r="I19" i="20"/>
  <c r="I18" i="20"/>
  <c r="I16" i="20"/>
  <c r="I15" i="20"/>
  <c r="I11" i="20"/>
  <c r="I8" i="20"/>
  <c r="I7" i="20"/>
  <c r="O85" i="1"/>
  <c r="K85" i="1"/>
  <c r="H82" i="1"/>
  <c r="H80" i="1"/>
  <c r="J49" i="20" l="1"/>
  <c r="I95" i="20"/>
  <c r="I35" i="20"/>
  <c r="I12" i="20"/>
  <c r="I42" i="20"/>
  <c r="J95" i="20"/>
  <c r="J106" i="20"/>
  <c r="I49" i="20"/>
  <c r="I106" i="20"/>
  <c r="J12" i="20"/>
  <c r="J42" i="20"/>
  <c r="I107" i="20" l="1"/>
  <c r="J107" i="20"/>
  <c r="O120" i="1"/>
  <c r="K120" i="1"/>
  <c r="H7" i="1"/>
  <c r="H73" i="1"/>
  <c r="J73" i="1" s="1"/>
  <c r="J75" i="1" s="1"/>
  <c r="H74" i="1"/>
  <c r="J74" i="1" s="1"/>
  <c r="H69" i="1"/>
  <c r="H61" i="1"/>
  <c r="J61" i="1" s="1"/>
  <c r="H65" i="1"/>
  <c r="J65" i="1" s="1"/>
  <c r="H60" i="1"/>
  <c r="H57" i="1"/>
  <c r="H45" i="1"/>
  <c r="J45" i="1" s="1"/>
  <c r="H47" i="1"/>
  <c r="J47" i="1" s="1"/>
  <c r="H40" i="1"/>
  <c r="H34" i="1"/>
  <c r="O129" i="1"/>
  <c r="K129" i="1"/>
  <c r="O82" i="1"/>
  <c r="K82" i="1"/>
  <c r="J48" i="1" l="1"/>
  <c r="J66" i="1"/>
  <c r="F28" i="20"/>
  <c r="F29" i="20"/>
  <c r="F30" i="20"/>
  <c r="F31" i="20"/>
  <c r="F32" i="20"/>
  <c r="F34" i="20"/>
  <c r="F38" i="20"/>
  <c r="F39" i="20"/>
  <c r="F40" i="20"/>
  <c r="F41" i="20"/>
  <c r="F47" i="20"/>
  <c r="F48" i="20"/>
  <c r="F51" i="20"/>
  <c r="F54" i="20"/>
  <c r="F55" i="20"/>
  <c r="F56" i="20"/>
  <c r="F57" i="20"/>
  <c r="F59" i="20"/>
  <c r="F63" i="20"/>
  <c r="F64" i="20"/>
  <c r="F65" i="20"/>
  <c r="F66" i="20"/>
  <c r="F67" i="20"/>
  <c r="F68" i="20"/>
  <c r="F88" i="20"/>
  <c r="F89" i="20"/>
  <c r="F90" i="20"/>
  <c r="F91" i="20"/>
  <c r="F92" i="20"/>
  <c r="F93" i="20"/>
  <c r="F94" i="20"/>
  <c r="F98" i="20"/>
  <c r="F99" i="20"/>
  <c r="F100" i="20"/>
  <c r="F101" i="20"/>
  <c r="F102" i="20"/>
  <c r="F103" i="20"/>
  <c r="F104" i="20"/>
  <c r="F105" i="20"/>
  <c r="F111" i="20"/>
  <c r="F112" i="20"/>
  <c r="F113" i="20"/>
  <c r="F114" i="20"/>
  <c r="F15" i="20"/>
  <c r="F16" i="20"/>
  <c r="F17" i="20"/>
  <c r="F18" i="20"/>
  <c r="F19" i="20"/>
  <c r="F7" i="20"/>
  <c r="F8" i="20"/>
  <c r="F9" i="20"/>
  <c r="F10" i="20"/>
  <c r="F11" i="20"/>
  <c r="F24" i="20"/>
  <c r="H128" i="1"/>
  <c r="J76" i="1" l="1"/>
  <c r="F42" i="20"/>
  <c r="F115" i="20"/>
  <c r="F60" i="20"/>
  <c r="F69" i="20"/>
  <c r="F49" i="20"/>
  <c r="F95" i="20"/>
  <c r="F106" i="20"/>
  <c r="F35" i="20"/>
  <c r="F70" i="20" l="1"/>
  <c r="F107" i="20"/>
  <c r="E114" i="20" l="1"/>
  <c r="G114" i="20" s="1"/>
  <c r="E113" i="20"/>
  <c r="E112" i="20"/>
  <c r="E111" i="20"/>
  <c r="E104" i="20"/>
  <c r="E103" i="20"/>
  <c r="E102" i="20"/>
  <c r="E101" i="20"/>
  <c r="E100" i="20"/>
  <c r="E99" i="20"/>
  <c r="E98" i="20"/>
  <c r="E89" i="20"/>
  <c r="E90" i="20"/>
  <c r="E91" i="20"/>
  <c r="G91" i="20" s="1"/>
  <c r="E92" i="20"/>
  <c r="E93" i="20"/>
  <c r="E94" i="20"/>
  <c r="E88" i="20"/>
  <c r="E68" i="20"/>
  <c r="E67" i="20"/>
  <c r="E66" i="20"/>
  <c r="E65" i="20"/>
  <c r="E64" i="20"/>
  <c r="E63" i="20"/>
  <c r="E59" i="20"/>
  <c r="E57" i="20"/>
  <c r="E55" i="20"/>
  <c r="E54" i="20"/>
  <c r="E51" i="20"/>
  <c r="E48" i="20"/>
  <c r="E47" i="20"/>
  <c r="E41" i="20"/>
  <c r="E40" i="20"/>
  <c r="E39" i="20"/>
  <c r="E38" i="20"/>
  <c r="E29" i="20"/>
  <c r="E30" i="20"/>
  <c r="E31" i="20"/>
  <c r="E32" i="20"/>
  <c r="E34" i="20"/>
  <c r="E28" i="20"/>
  <c r="G113" i="20"/>
  <c r="K105" i="20"/>
  <c r="K103" i="20"/>
  <c r="G103" i="20"/>
  <c r="G19" i="20"/>
  <c r="G18" i="20"/>
  <c r="G16" i="20"/>
  <c r="K10" i="20"/>
  <c r="E49" i="20" l="1"/>
  <c r="G41" i="20"/>
  <c r="G55" i="20"/>
  <c r="K11" i="20"/>
  <c r="G101" i="20"/>
  <c r="G89" i="20"/>
  <c r="G93" i="20"/>
  <c r="G38" i="20"/>
  <c r="G40" i="20"/>
  <c r="G59" i="20"/>
  <c r="G112" i="20"/>
  <c r="E95" i="20"/>
  <c r="E115" i="20"/>
  <c r="G99" i="20"/>
  <c r="G90" i="20"/>
  <c r="G94" i="20"/>
  <c r="G100" i="20"/>
  <c r="G104" i="20"/>
  <c r="G98" i="20"/>
  <c r="G102" i="20"/>
  <c r="G92" i="20"/>
  <c r="G29" i="20"/>
  <c r="G34" i="20"/>
  <c r="G67" i="20"/>
  <c r="G28" i="20"/>
  <c r="G51" i="20"/>
  <c r="E35" i="20"/>
  <c r="G30" i="20"/>
  <c r="G65" i="20"/>
  <c r="G57" i="20"/>
  <c r="G68" i="20"/>
  <c r="K30" i="20"/>
  <c r="G48" i="20"/>
  <c r="G64" i="20"/>
  <c r="E69" i="20"/>
  <c r="E42" i="20"/>
  <c r="G66" i="20"/>
  <c r="G39" i="20"/>
  <c r="G32" i="20"/>
  <c r="G31" i="20"/>
  <c r="K8" i="20"/>
  <c r="G111" i="20"/>
  <c r="G47" i="20"/>
  <c r="K94" i="20"/>
  <c r="K32" i="20"/>
  <c r="F20" i="20"/>
  <c r="G54" i="20"/>
  <c r="F12" i="20"/>
  <c r="G17" i="20"/>
  <c r="G88" i="20"/>
  <c r="G63" i="20"/>
  <c r="E56" i="20"/>
  <c r="G56" i="20" s="1"/>
  <c r="G49" i="20" l="1"/>
  <c r="G115" i="20"/>
  <c r="G35" i="20"/>
  <c r="E60" i="20"/>
  <c r="E70" i="20" s="1"/>
  <c r="G69" i="20"/>
  <c r="G42" i="20"/>
  <c r="G95" i="20"/>
  <c r="F21" i="20"/>
  <c r="G60" i="20" l="1"/>
  <c r="G70" i="20"/>
  <c r="H157" i="1" l="1"/>
  <c r="E105" i="20" s="1"/>
  <c r="E106" i="20" l="1"/>
  <c r="E107" i="20" s="1"/>
  <c r="G107" i="20" s="1"/>
  <c r="G105" i="20"/>
  <c r="O130" i="1"/>
  <c r="K130" i="1"/>
  <c r="G106" i="20" l="1"/>
  <c r="G81" i="20"/>
  <c r="G117" i="1"/>
  <c r="G118" i="1"/>
  <c r="G119" i="1"/>
  <c r="G115" i="1"/>
  <c r="G105" i="1"/>
  <c r="G100" i="1"/>
  <c r="G90" i="1"/>
  <c r="H19" i="1"/>
  <c r="H18" i="1"/>
  <c r="H17" i="1"/>
  <c r="H16" i="1"/>
  <c r="H15" i="1"/>
  <c r="E15" i="20" s="1"/>
  <c r="H8" i="1"/>
  <c r="H9" i="1"/>
  <c r="H10" i="1"/>
  <c r="H11" i="1"/>
  <c r="E10" i="20" l="1"/>
  <c r="G10" i="20" s="1"/>
  <c r="J10" i="1"/>
  <c r="E16" i="20"/>
  <c r="J16" i="1"/>
  <c r="E9" i="20"/>
  <c r="G9" i="20" s="1"/>
  <c r="J9" i="1"/>
  <c r="E17" i="20"/>
  <c r="J17" i="1"/>
  <c r="E8" i="20"/>
  <c r="G8" i="20" s="1"/>
  <c r="J8" i="1"/>
  <c r="E18" i="20"/>
  <c r="J18" i="1"/>
  <c r="E11" i="20"/>
  <c r="G11" i="20" s="1"/>
  <c r="J11" i="1"/>
  <c r="E19" i="20"/>
  <c r="J19" i="1"/>
  <c r="G80" i="20"/>
  <c r="G80" i="1"/>
  <c r="G126" i="1"/>
  <c r="H126" i="1" s="1"/>
  <c r="G15" i="20"/>
  <c r="E20" i="20" l="1"/>
  <c r="G20" i="20" s="1"/>
  <c r="J20" i="1"/>
  <c r="J12" i="1"/>
  <c r="E7" i="20"/>
  <c r="D136" i="1"/>
  <c r="J21" i="1" l="1"/>
  <c r="E12" i="20"/>
  <c r="E21" i="20" s="1"/>
  <c r="G7" i="20"/>
  <c r="G21" i="20" l="1"/>
  <c r="G12" i="20"/>
  <c r="H118" i="1" l="1"/>
  <c r="H117" i="1"/>
  <c r="H105" i="1" l="1"/>
  <c r="H100" i="1"/>
  <c r="H28" i="1" l="1"/>
  <c r="H26" i="1"/>
  <c r="J26" i="1" s="1"/>
  <c r="H27" i="1"/>
  <c r="J27" i="1" s="1"/>
  <c r="E83" i="20" l="1"/>
  <c r="K9" i="20" l="1"/>
  <c r="K56" i="20"/>
  <c r="K24" i="20"/>
  <c r="J54" i="20"/>
  <c r="J55" i="20"/>
  <c r="J111" i="20"/>
  <c r="J113" i="20"/>
  <c r="K113" i="20" s="1"/>
  <c r="I69" i="20"/>
  <c r="I54" i="20"/>
  <c r="I55" i="20"/>
  <c r="I17" i="20"/>
  <c r="I20" i="20" s="1"/>
  <c r="I21" i="20" s="1"/>
  <c r="I111" i="20"/>
  <c r="I114" i="20"/>
  <c r="K114" i="20" s="1"/>
  <c r="K55" i="20" l="1"/>
  <c r="I115" i="20"/>
  <c r="I60" i="20"/>
  <c r="I70" i="20" s="1"/>
  <c r="J69" i="20"/>
  <c r="J60" i="20"/>
  <c r="K54" i="20"/>
  <c r="J115" i="20"/>
  <c r="K111" i="20"/>
  <c r="K7" i="20"/>
  <c r="K12" i="20"/>
  <c r="K112" i="20" l="1"/>
  <c r="K115" i="20"/>
  <c r="K99" i="20"/>
  <c r="K91" i="20"/>
  <c r="K98" i="20" l="1"/>
  <c r="K15" i="20"/>
  <c r="K65" i="20"/>
  <c r="K59" i="20"/>
  <c r="K92" i="20"/>
  <c r="K100" i="20"/>
  <c r="K41" i="20"/>
  <c r="K51" i="20"/>
  <c r="K29" i="20"/>
  <c r="K104" i="20"/>
  <c r="K102" i="20"/>
  <c r="K101" i="20"/>
  <c r="K93" i="20"/>
  <c r="K90" i="20"/>
  <c r="K89" i="20"/>
  <c r="K34" i="20"/>
  <c r="K68" i="20"/>
  <c r="K67" i="20"/>
  <c r="K66" i="20"/>
  <c r="K64" i="20"/>
  <c r="K48" i="20"/>
  <c r="K40" i="20"/>
  <c r="K106" i="20" l="1"/>
  <c r="K88" i="20"/>
  <c r="K69" i="20"/>
  <c r="K63" i="20"/>
  <c r="K57" i="20"/>
  <c r="K60" i="20"/>
  <c r="K49" i="20"/>
  <c r="K47" i="20"/>
  <c r="K38" i="20"/>
  <c r="K28" i="20"/>
  <c r="J31" i="20"/>
  <c r="J19" i="20"/>
  <c r="K19" i="20" s="1"/>
  <c r="J17" i="20"/>
  <c r="K17" i="20" s="1"/>
  <c r="J18" i="20"/>
  <c r="K18" i="20" s="1"/>
  <c r="J16" i="20"/>
  <c r="K80" i="20" l="1"/>
  <c r="J35" i="20"/>
  <c r="J70" i="20" s="1"/>
  <c r="K31" i="20"/>
  <c r="J20" i="20"/>
  <c r="K16" i="20"/>
  <c r="K107" i="20"/>
  <c r="K95" i="20"/>
  <c r="K81" i="20"/>
  <c r="K35" i="20" l="1"/>
  <c r="J21" i="20"/>
  <c r="K21" i="20" s="1"/>
  <c r="K20" i="20"/>
  <c r="K39" i="20"/>
  <c r="K42" i="20" l="1"/>
  <c r="K70" i="20"/>
  <c r="N55" i="1" l="1"/>
  <c r="M55" i="1"/>
  <c r="H55" i="1"/>
  <c r="O54" i="1"/>
  <c r="K54" i="1"/>
  <c r="O53" i="1"/>
  <c r="K53" i="1"/>
  <c r="O55" i="1" l="1"/>
  <c r="K55" i="1"/>
  <c r="K133" i="1" l="1"/>
  <c r="K105" i="1"/>
  <c r="K166" i="1"/>
  <c r="K165" i="1"/>
  <c r="K164" i="1"/>
  <c r="K163" i="1"/>
  <c r="K157" i="1"/>
  <c r="K156" i="1"/>
  <c r="K155" i="1"/>
  <c r="K154" i="1"/>
  <c r="K153" i="1"/>
  <c r="K152" i="1"/>
  <c r="K151" i="1"/>
  <c r="K150" i="1"/>
  <c r="K146" i="1"/>
  <c r="K145" i="1"/>
  <c r="K144" i="1"/>
  <c r="K143" i="1"/>
  <c r="K142" i="1"/>
  <c r="K141" i="1"/>
  <c r="K140" i="1"/>
  <c r="K134" i="1"/>
  <c r="K131" i="1"/>
  <c r="K128" i="1"/>
  <c r="K127" i="1"/>
  <c r="K126" i="1"/>
  <c r="K121" i="1"/>
  <c r="K117" i="1"/>
  <c r="K116" i="1"/>
  <c r="K115" i="1"/>
  <c r="K111" i="1"/>
  <c r="K109" i="1"/>
  <c r="K108" i="1"/>
  <c r="K107" i="1"/>
  <c r="K106" i="1"/>
  <c r="K101" i="1"/>
  <c r="K100" i="1"/>
  <c r="K91" i="1"/>
  <c r="K90" i="1"/>
  <c r="K86" i="1"/>
  <c r="K84" i="1"/>
  <c r="K81" i="1"/>
  <c r="K74" i="1"/>
  <c r="K73" i="1"/>
  <c r="K72" i="1"/>
  <c r="K71" i="1"/>
  <c r="K70" i="1"/>
  <c r="K69" i="1"/>
  <c r="K65" i="1"/>
  <c r="K63" i="1"/>
  <c r="K62" i="1"/>
  <c r="K61" i="1"/>
  <c r="K60" i="1"/>
  <c r="K57" i="1"/>
  <c r="K47" i="1"/>
  <c r="K46" i="1"/>
  <c r="K45" i="1"/>
  <c r="K44" i="1"/>
  <c r="K40" i="1"/>
  <c r="K38" i="1"/>
  <c r="K37" i="1"/>
  <c r="K36" i="1"/>
  <c r="K35" i="1"/>
  <c r="K34" i="1"/>
  <c r="K19" i="1"/>
  <c r="K18" i="1"/>
  <c r="K17" i="1"/>
  <c r="K16" i="1"/>
  <c r="K15" i="1"/>
  <c r="K11" i="1"/>
  <c r="K10" i="1"/>
  <c r="K9" i="1"/>
  <c r="K8" i="1"/>
  <c r="K7" i="1"/>
  <c r="O7" i="1"/>
  <c r="O166" i="1"/>
  <c r="O165" i="1"/>
  <c r="O164" i="1"/>
  <c r="O163" i="1"/>
  <c r="O157" i="1"/>
  <c r="O156" i="1"/>
  <c r="O155" i="1"/>
  <c r="O154" i="1"/>
  <c r="O153" i="1"/>
  <c r="O152" i="1"/>
  <c r="O151" i="1"/>
  <c r="O150" i="1"/>
  <c r="O146" i="1"/>
  <c r="O145" i="1"/>
  <c r="O144" i="1"/>
  <c r="O143" i="1"/>
  <c r="O142" i="1"/>
  <c r="O141" i="1"/>
  <c r="O140" i="1"/>
  <c r="O134" i="1"/>
  <c r="O133" i="1"/>
  <c r="O132" i="1"/>
  <c r="O131" i="1"/>
  <c r="O128" i="1"/>
  <c r="O127" i="1"/>
  <c r="O126" i="1"/>
  <c r="O125" i="1"/>
  <c r="O121" i="1"/>
  <c r="O117" i="1"/>
  <c r="O116" i="1"/>
  <c r="O115" i="1"/>
  <c r="O111" i="1"/>
  <c r="O109" i="1"/>
  <c r="O108" i="1"/>
  <c r="O107" i="1"/>
  <c r="O106" i="1"/>
  <c r="O105" i="1"/>
  <c r="O101" i="1"/>
  <c r="O100" i="1"/>
  <c r="O91" i="1"/>
  <c r="O90" i="1"/>
  <c r="O86" i="1"/>
  <c r="O84" i="1"/>
  <c r="O83" i="1"/>
  <c r="O81" i="1"/>
  <c r="O74" i="1"/>
  <c r="O73" i="1"/>
  <c r="O72" i="1"/>
  <c r="O71" i="1"/>
  <c r="O70" i="1"/>
  <c r="O69" i="1"/>
  <c r="O65" i="1"/>
  <c r="O63" i="1"/>
  <c r="O62" i="1"/>
  <c r="O61" i="1"/>
  <c r="O60" i="1"/>
  <c r="O57" i="1"/>
  <c r="O47" i="1"/>
  <c r="O46" i="1"/>
  <c r="O45" i="1"/>
  <c r="O44" i="1"/>
  <c r="O40" i="1"/>
  <c r="O38" i="1"/>
  <c r="O37" i="1"/>
  <c r="O36" i="1"/>
  <c r="O35" i="1"/>
  <c r="O34" i="1"/>
  <c r="O30" i="1"/>
  <c r="O19" i="1"/>
  <c r="O18" i="1"/>
  <c r="O17" i="1"/>
  <c r="O16" i="1"/>
  <c r="O15" i="1"/>
  <c r="O11" i="1"/>
  <c r="O10" i="1"/>
  <c r="O9" i="1"/>
  <c r="O8" i="1"/>
  <c r="N12" i="1"/>
  <c r="N20" i="1"/>
  <c r="N41" i="1"/>
  <c r="N48" i="1"/>
  <c r="N66" i="1"/>
  <c r="N75" i="1"/>
  <c r="N92" i="1"/>
  <c r="N102" i="1"/>
  <c r="N112" i="1"/>
  <c r="N135" i="1"/>
  <c r="N147" i="1"/>
  <c r="N158" i="1"/>
  <c r="N167" i="1"/>
  <c r="M167" i="1"/>
  <c r="M158" i="1"/>
  <c r="M147" i="1"/>
  <c r="M135" i="1"/>
  <c r="M122" i="1"/>
  <c r="I83" i="20" s="1"/>
  <c r="M112" i="1"/>
  <c r="M102" i="1"/>
  <c r="M92" i="1"/>
  <c r="M87" i="1"/>
  <c r="M75" i="1"/>
  <c r="M66" i="1"/>
  <c r="M48" i="1"/>
  <c r="M41" i="1"/>
  <c r="M20" i="1"/>
  <c r="M12" i="1"/>
  <c r="H167" i="1"/>
  <c r="H158" i="1"/>
  <c r="H147" i="1"/>
  <c r="H112" i="1"/>
  <c r="H136" i="1" s="1"/>
  <c r="H102" i="1"/>
  <c r="H92" i="1"/>
  <c r="H75" i="1"/>
  <c r="H66" i="1"/>
  <c r="H76" i="1" s="1"/>
  <c r="H48" i="1"/>
  <c r="H41" i="1"/>
  <c r="H20" i="1"/>
  <c r="H12" i="1"/>
  <c r="I117" i="20" l="1"/>
  <c r="I118" i="20" s="1"/>
  <c r="M136" i="1"/>
  <c r="N76" i="1"/>
  <c r="M76" i="1"/>
  <c r="K132" i="1"/>
  <c r="K66" i="1"/>
  <c r="K75" i="1"/>
  <c r="K102" i="1"/>
  <c r="K41" i="1"/>
  <c r="K20" i="1"/>
  <c r="M21" i="1"/>
  <c r="K167" i="1"/>
  <c r="K158" i="1"/>
  <c r="O102" i="1"/>
  <c r="O66" i="1"/>
  <c r="O20" i="1"/>
  <c r="K12" i="1"/>
  <c r="K48" i="1"/>
  <c r="K112" i="1"/>
  <c r="O48" i="1"/>
  <c r="O135" i="1"/>
  <c r="O92" i="1"/>
  <c r="O12" i="1"/>
  <c r="K147" i="1"/>
  <c r="O167" i="1"/>
  <c r="K92" i="1"/>
  <c r="O147" i="1"/>
  <c r="O158" i="1"/>
  <c r="O112" i="1"/>
  <c r="O75" i="1"/>
  <c r="O41" i="1"/>
  <c r="N159" i="1"/>
  <c r="N21" i="1"/>
  <c r="M159" i="1"/>
  <c r="H159" i="1"/>
  <c r="H21" i="1"/>
  <c r="H25" i="1" s="1"/>
  <c r="H29" i="1" l="1"/>
  <c r="J29" i="1" s="1"/>
  <c r="J30" i="1" s="1"/>
  <c r="J169" i="1" s="1"/>
  <c r="J170" i="1" s="1"/>
  <c r="J25" i="1"/>
  <c r="O21" i="1"/>
  <c r="M169" i="1"/>
  <c r="M170" i="1" s="1"/>
  <c r="K21" i="1"/>
  <c r="K159" i="1"/>
  <c r="O76" i="1"/>
  <c r="O159" i="1"/>
  <c r="H30" i="1" l="1"/>
  <c r="K76" i="1"/>
  <c r="E24" i="20" l="1"/>
  <c r="K30" i="1"/>
  <c r="K125" i="1"/>
  <c r="G24" i="20" l="1"/>
  <c r="E117" i="20"/>
  <c r="E118" i="20" s="1"/>
  <c r="K135" i="1"/>
  <c r="K80" i="1" l="1"/>
  <c r="K83" i="1" l="1"/>
  <c r="H87" i="1"/>
  <c r="K87" i="1" l="1"/>
  <c r="N87" i="1" l="1"/>
  <c r="O80" i="1"/>
  <c r="O87" i="1" l="1"/>
  <c r="K119" i="1" l="1"/>
  <c r="K118" i="1"/>
  <c r="H122" i="1"/>
  <c r="K136" i="1" l="1"/>
  <c r="K122" i="1"/>
  <c r="G73" i="20" l="1"/>
  <c r="O119" i="1"/>
  <c r="H169" i="1"/>
  <c r="H170" i="1" s="1"/>
  <c r="F83" i="20" l="1"/>
  <c r="K169" i="1"/>
  <c r="N122" i="1"/>
  <c r="O118" i="1"/>
  <c r="K73" i="20" l="1"/>
  <c r="N136" i="1"/>
  <c r="G83" i="20"/>
  <c r="J83" i="20"/>
  <c r="F117" i="20"/>
  <c r="F118" i="20" s="1"/>
  <c r="O122" i="1"/>
  <c r="J117" i="20" l="1"/>
  <c r="J118" i="20" s="1"/>
  <c r="K118" i="20" s="1"/>
  <c r="G117" i="20"/>
  <c r="K83" i="20"/>
  <c r="N169" i="1"/>
  <c r="O136" i="1"/>
  <c r="K117" i="20" l="1"/>
  <c r="O169" i="1"/>
  <c r="N170" i="1"/>
  <c r="O170" i="1" s="1"/>
</calcChain>
</file>

<file path=xl/comments1.xml><?xml version="1.0" encoding="utf-8"?>
<comments xmlns="http://schemas.openxmlformats.org/spreadsheetml/2006/main">
  <authors>
    <author>Jacobson, Dawn M.</author>
  </authors>
  <commentList>
    <comment ref="E80" authorId="0">
      <text>
        <r>
          <rPr>
            <b/>
            <sz val="9"/>
            <color indexed="81"/>
            <rFont val="Tahoma"/>
            <family val="2"/>
          </rPr>
          <t>Jacobson, Dawn M.:</t>
        </r>
        <r>
          <rPr>
            <sz val="9"/>
            <color indexed="81"/>
            <rFont val="Tahoma"/>
            <family val="2"/>
          </rPr>
          <t xml:space="preserve">
Calc from Cheryl:
$17,880 Health
10% Pension
2.5% Disability
.8% Life
.7% Retiree Support</t>
        </r>
      </text>
    </comment>
  </commentList>
</comments>
</file>

<file path=xl/comments2.xml><?xml version="1.0" encoding="utf-8"?>
<comments xmlns="http://schemas.openxmlformats.org/spreadsheetml/2006/main">
  <authors>
    <author>Jacobson, Dawn M.</author>
  </authors>
  <commentList>
    <comment ref="H82" authorId="0">
      <text>
        <r>
          <rPr>
            <b/>
            <sz val="9"/>
            <color indexed="81"/>
            <rFont val="Tahoma"/>
            <family val="2"/>
          </rPr>
          <t>Jacobson, Dawn M.:</t>
        </r>
        <r>
          <rPr>
            <sz val="9"/>
            <color indexed="81"/>
            <rFont val="Tahoma"/>
            <family val="2"/>
          </rPr>
          <t xml:space="preserve">
Calc from Cheryl:
$17,880 Health
10% Pension
2.5% Disability
.8% Life
.7% Retiree Support</t>
        </r>
      </text>
    </comment>
    <comment ref="H83" authorId="0">
      <text>
        <r>
          <rPr>
            <b/>
            <sz val="9"/>
            <color indexed="81"/>
            <rFont val="Tahoma"/>
            <family val="2"/>
          </rPr>
          <t>Jacobson, Dawn M.:</t>
        </r>
        <r>
          <rPr>
            <sz val="9"/>
            <color indexed="81"/>
            <rFont val="Tahoma"/>
            <family val="2"/>
          </rPr>
          <t xml:space="preserve">
Calc from Cheryl:
$17,880 Health
10% Pension
2.5% Disability
.8% Life
.7% Retiree Support</t>
        </r>
      </text>
    </comment>
    <comment ref="H106" authorId="0">
      <text>
        <r>
          <rPr>
            <b/>
            <sz val="9"/>
            <color indexed="81"/>
            <rFont val="Tahoma"/>
            <family val="2"/>
          </rPr>
          <t>Jacobson, Dawn M.:</t>
        </r>
        <r>
          <rPr>
            <sz val="9"/>
            <color indexed="81"/>
            <rFont val="Tahoma"/>
            <family val="2"/>
          </rPr>
          <t xml:space="preserve">
Calc from Cheryl</t>
        </r>
      </text>
    </comment>
  </commentList>
</comments>
</file>

<file path=xl/sharedStrings.xml><?xml version="1.0" encoding="utf-8"?>
<sst xmlns="http://schemas.openxmlformats.org/spreadsheetml/2006/main" count="414" uniqueCount="266">
  <si>
    <t>Income</t>
  </si>
  <si>
    <t>Envelope Giving</t>
  </si>
  <si>
    <t>Easter Offerings</t>
  </si>
  <si>
    <t>Thanksgiving Offerings</t>
  </si>
  <si>
    <t>Christmas Offerings</t>
  </si>
  <si>
    <t>Lenten Offerings</t>
  </si>
  <si>
    <t>Total Envelope Giving</t>
  </si>
  <si>
    <t>Misc Income</t>
  </si>
  <si>
    <t>Loose Offerings</t>
  </si>
  <si>
    <t>Special Appeal</t>
  </si>
  <si>
    <t>Total Misc Income</t>
  </si>
  <si>
    <t>Current Investment Income</t>
  </si>
  <si>
    <t>TOTAL INCOME</t>
  </si>
  <si>
    <t>Expenses</t>
  </si>
  <si>
    <t>Mortgage</t>
  </si>
  <si>
    <t>Total Expected Income</t>
  </si>
  <si>
    <t>Line of Credit</t>
  </si>
  <si>
    <t>Line of Credit Interest</t>
  </si>
  <si>
    <t>Parish Ed</t>
  </si>
  <si>
    <t>Confirmation</t>
  </si>
  <si>
    <t>Vacation Bible School</t>
  </si>
  <si>
    <t>Library</t>
  </si>
  <si>
    <t>First Communion</t>
  </si>
  <si>
    <t>Total Parish Ed</t>
  </si>
  <si>
    <t>Deacons</t>
  </si>
  <si>
    <t>Total Deacons</t>
  </si>
  <si>
    <t>Worship Supplies</t>
  </si>
  <si>
    <t>Saturday Nite Lite</t>
  </si>
  <si>
    <t>Children's Services</t>
  </si>
  <si>
    <t>Flowers</t>
  </si>
  <si>
    <t>Youth</t>
  </si>
  <si>
    <t>Church &amp; Society</t>
  </si>
  <si>
    <t>Misc Programs</t>
  </si>
  <si>
    <t>Stewardship</t>
  </si>
  <si>
    <t>Envelopes, Giving</t>
  </si>
  <si>
    <t>Synod Assembly</t>
  </si>
  <si>
    <t>Evangelism</t>
  </si>
  <si>
    <t>Organ/Piano Maintenance/Tuning</t>
  </si>
  <si>
    <t>Total Misc Programs</t>
  </si>
  <si>
    <t>Office Expense</t>
  </si>
  <si>
    <t>Office Supplies</t>
  </si>
  <si>
    <t>Postage</t>
  </si>
  <si>
    <t>Office Equipment/Computer</t>
  </si>
  <si>
    <t>Kitchen Supplies</t>
  </si>
  <si>
    <t>Bank Fees</t>
  </si>
  <si>
    <t>STAFF</t>
  </si>
  <si>
    <t>Total Office Expense</t>
  </si>
  <si>
    <t>Salary/FICA/Housing</t>
  </si>
  <si>
    <t>Travel Allowance</t>
  </si>
  <si>
    <t>Pension/Insurance</t>
  </si>
  <si>
    <t>Supplemental Insurance</t>
  </si>
  <si>
    <t>Continuing Education</t>
  </si>
  <si>
    <t>Salary</t>
  </si>
  <si>
    <t>Travel Expense</t>
  </si>
  <si>
    <t>Total Support Pastor</t>
  </si>
  <si>
    <t>Youth Assistant</t>
  </si>
  <si>
    <t>Total Youth Director</t>
  </si>
  <si>
    <t>Assoc. In Ministry (A.I.M.)</t>
  </si>
  <si>
    <t>Dental Premium</t>
  </si>
  <si>
    <t>Total A.I.M.</t>
  </si>
  <si>
    <t>Music Staff</t>
  </si>
  <si>
    <t>Organist - subs</t>
  </si>
  <si>
    <t>Revelation Band</t>
  </si>
  <si>
    <t>Chancel Choir Director</t>
  </si>
  <si>
    <t>Youth Choir</t>
  </si>
  <si>
    <t>Total Music Staff</t>
  </si>
  <si>
    <t>Other Staff</t>
  </si>
  <si>
    <t>Total Other Staff</t>
  </si>
  <si>
    <t>Custodians</t>
  </si>
  <si>
    <t>Staff Development</t>
  </si>
  <si>
    <t>Church - FICA/MED</t>
  </si>
  <si>
    <t>Workers Compensation</t>
  </si>
  <si>
    <t>Supply Pastor Expenses</t>
  </si>
  <si>
    <t>TOTAL STAFF</t>
  </si>
  <si>
    <t>Facilities</t>
  </si>
  <si>
    <t>Utilities</t>
  </si>
  <si>
    <t>Program Expenses</t>
  </si>
  <si>
    <t>Electric</t>
  </si>
  <si>
    <t>Gas</t>
  </si>
  <si>
    <t>Telephone (and Internet)</t>
  </si>
  <si>
    <t>Water</t>
  </si>
  <si>
    <t>Security</t>
  </si>
  <si>
    <t>Cell Phone</t>
  </si>
  <si>
    <t>Total Utilities</t>
  </si>
  <si>
    <t>Church Maintenance</t>
  </si>
  <si>
    <t>Insurance</t>
  </si>
  <si>
    <t>Snow Removal</t>
  </si>
  <si>
    <t>Building Repairs</t>
  </si>
  <si>
    <t>Trustee Contingency</t>
  </si>
  <si>
    <t>Interest-Line of Credit</t>
  </si>
  <si>
    <t>Mortgage (ends 2016)</t>
  </si>
  <si>
    <t>Total Church Maintenance</t>
  </si>
  <si>
    <t>TOTAL FACILITIES</t>
  </si>
  <si>
    <t>Disbursements</t>
  </si>
  <si>
    <t>Restricted Funds</t>
  </si>
  <si>
    <t>Operating Fund Reserve</t>
  </si>
  <si>
    <t>Facilities Fund</t>
  </si>
  <si>
    <t>Misc Expense</t>
  </si>
  <si>
    <t>Line of Credit Payment</t>
  </si>
  <si>
    <t>Total Restricted Funds</t>
  </si>
  <si>
    <t>TOTAL EXPENSES</t>
  </si>
  <si>
    <t>Income less Expense</t>
  </si>
  <si>
    <t>Sunday School</t>
  </si>
  <si>
    <t>Actual vs Budget</t>
  </si>
  <si>
    <t>Full Year</t>
  </si>
  <si>
    <t>Lutheran Church of the Resurrection</t>
  </si>
  <si>
    <t>Cradle Roll</t>
  </si>
  <si>
    <t>Parish Secretary (full time)</t>
  </si>
  <si>
    <t>TOTAL PROGRAMS</t>
  </si>
  <si>
    <t>Total Church Membership</t>
  </si>
  <si>
    <t>Sunday Coffee</t>
  </si>
  <si>
    <t>Hold at 10%</t>
  </si>
  <si>
    <t>Benevolence</t>
  </si>
  <si>
    <t>10% Benevolence</t>
  </si>
  <si>
    <t>Per Cheryl:  ELC Board of Pensions</t>
  </si>
  <si>
    <t>Church Membership</t>
  </si>
  <si>
    <t>Clearing Account</t>
  </si>
  <si>
    <t>Church Membership Activities</t>
  </si>
  <si>
    <t>Advertising-Media (Newspaper)</t>
  </si>
  <si>
    <t>Financial Secretary</t>
  </si>
  <si>
    <t>Month</t>
  </si>
  <si>
    <t>Current Year</t>
  </si>
  <si>
    <t>January = 1</t>
  </si>
  <si>
    <t>$55.30/week plus monthly fee for alarm</t>
  </si>
  <si>
    <t>Maint.  Supplies</t>
  </si>
  <si>
    <t>Salary Calc Estimate</t>
  </si>
  <si>
    <t>Staff Contingency</t>
  </si>
  <si>
    <t>2015 Budget</t>
  </si>
  <si>
    <t>Pamphlet created in 2014</t>
  </si>
  <si>
    <t>Must submit mileage</t>
  </si>
  <si>
    <t>Estimate:  20 years experience and 50 years old</t>
  </si>
  <si>
    <t>Per Cheryl</t>
  </si>
  <si>
    <t>No longer needs this but will increase other benefits/insurance</t>
  </si>
  <si>
    <t>Use any excess to start paying off line of credit</t>
  </si>
  <si>
    <t>Requested $1278 less reimbursement from parents</t>
  </si>
  <si>
    <t>Requested $500</t>
  </si>
  <si>
    <t>Requested $1,566 (Additional $50 for crafts and $150 for curriculum materials</t>
  </si>
  <si>
    <t>Total Requested was $7,518</t>
  </si>
  <si>
    <t>Requested $500 but just order this year so should need more than $400</t>
  </si>
  <si>
    <t>Requested $3,534.  Increase due to $500 for Sunday School Superintendent thank you.</t>
  </si>
  <si>
    <t>Requested $140</t>
  </si>
  <si>
    <t>Requested $5,200 with no back up information.  Herk/Mike Dry Sound ($20/service) - $2520 through October, Microphone batteries ($200), Christ in our home ($700), Video and Song Licenses ($250), Bubbles</t>
  </si>
  <si>
    <t>Requested $1,300 with no back up information</t>
  </si>
  <si>
    <t>Requested $800 with no back up information</t>
  </si>
  <si>
    <t>Requested $200 with no back up information</t>
  </si>
  <si>
    <t>Total Requested $7,500</t>
  </si>
  <si>
    <t>Requested $200 - this is for the interfaith coalition advertising cost</t>
  </si>
  <si>
    <t>Janice/Pastor/Dori/and? $225/month</t>
  </si>
  <si>
    <t>New Rate for the increased coverage</t>
  </si>
  <si>
    <t>Maintenance Contracts</t>
  </si>
  <si>
    <t>Facilites has requested funding for several projects.  Extra $ is needed to support these.</t>
  </si>
  <si>
    <t>Other Benefits and taxes</t>
  </si>
  <si>
    <t>Non Staff costs</t>
  </si>
  <si>
    <t>Increase for Staff</t>
  </si>
  <si>
    <t>Increase for Music</t>
  </si>
  <si>
    <t>$498 per month for Phones, Internet, Fax Machine</t>
  </si>
  <si>
    <t>$1,200 for Joe and then $300 for others to cover off weeks, $2,870 for Media</t>
  </si>
  <si>
    <t>Projection and Media Development</t>
  </si>
  <si>
    <t>Total Staff</t>
  </si>
  <si>
    <t>City Assessment</t>
  </si>
  <si>
    <t>Recommend aggregating salaries as the Synod and other churches do</t>
  </si>
  <si>
    <t>Needs to be decided by Council or Finance Committee if Gift Cards Paid Staff including Custodians (Monday Staff Meetings and Revalation Band).  Added $200 for staff lunch for John's Retirement in Jan/Feb 2015.  This should be removed for 2016 budget.</t>
  </si>
  <si>
    <t>2016 Budget</t>
  </si>
  <si>
    <t>2015 Year to Date (YTD)</t>
  </si>
  <si>
    <t>Same as 2015 budget</t>
  </si>
  <si>
    <t>Same as 2015</t>
  </si>
  <si>
    <t>This is an assessment for the parking lot</t>
  </si>
  <si>
    <t>Same as 2015:  Recycle, Garbage, Fire Extinquishers, Elevator, Phone lines, pest control</t>
  </si>
  <si>
    <t>Saturday Nite Services</t>
  </si>
  <si>
    <t>Tax Allowance</t>
  </si>
  <si>
    <t>Requesting $400</t>
  </si>
  <si>
    <t>3.0% increase over 2015 budget</t>
  </si>
  <si>
    <t>Youth Choir Accompianist</t>
  </si>
  <si>
    <t xml:space="preserve"> 2016 Budget Notes</t>
  </si>
  <si>
    <t xml:space="preserve"> 2015 Budget Notes</t>
  </si>
  <si>
    <t>Same as 2014 budget</t>
  </si>
  <si>
    <t>Reduced 1.0% from 2014 budget due to pledge and 2014 trends.</t>
  </si>
  <si>
    <t>Budget to send 4 at $200 each to Carthage in 2015</t>
  </si>
  <si>
    <t>Paper, Pens, bulletin covers for funeral services</t>
  </si>
  <si>
    <t>Same as 2014</t>
  </si>
  <si>
    <t xml:space="preserve">Lease payments $484 x2 x month plus copy costs </t>
  </si>
  <si>
    <t>2.0% increase over 2014 budget</t>
  </si>
  <si>
    <t>Flutist $200/month - same as 2014</t>
  </si>
  <si>
    <t>2.5% increase over 2014 budget</t>
  </si>
  <si>
    <t>Staff meeting lunches</t>
  </si>
  <si>
    <t>Estimate from Cheryl</t>
  </si>
  <si>
    <t>$913/Month for 2014 plus more for extra cold weather</t>
  </si>
  <si>
    <t>This an assessment for the parking lot</t>
  </si>
  <si>
    <t>Same as 2014:  Recycle, Garbage, Fire Extinquishers, Elevator, Phone lines, pest control</t>
  </si>
  <si>
    <t>No change.  Mortgage ends in 2016</t>
  </si>
  <si>
    <t>The roof loan:  the interest payment is $137.50/month per Cheryl</t>
  </si>
  <si>
    <t>Increased to support the new visitation role Janice will be doing</t>
  </si>
  <si>
    <t>1% (not 3% to cover Youth Choir Accompianist)</t>
  </si>
  <si>
    <t>New in 2016 - $100 per month for practise sessions</t>
  </si>
  <si>
    <t>$150 for Sunday or $200 for Saturday (backup Pastor)</t>
  </si>
  <si>
    <t>$913/Month for 2015 plus more for extra cold weather (same as 2015)</t>
  </si>
  <si>
    <t>$498 per month for Phones, Internet, Fax Machine (same as 2015)</t>
  </si>
  <si>
    <t>Use any excess to pay off line of credit and build a facilities fund</t>
  </si>
  <si>
    <t>Per Letter of Call</t>
  </si>
  <si>
    <t>Per Letter of Call - Paid per milage submitted</t>
  </si>
  <si>
    <t>Business Expenses</t>
  </si>
  <si>
    <t>Requested $400:  Includes $350 for deposit but having at the church this year so why?</t>
  </si>
  <si>
    <t>3.0% increase over 2015 budget (Larger per service increase given change in # of services)</t>
  </si>
  <si>
    <t>QUESTION:  Were there more mailings?  In first quarter?  Likely more mailings given the calling of the new pastor</t>
  </si>
  <si>
    <t>QUESTION:  Kim, please provide an estimate.  Keep the same for 2016</t>
  </si>
  <si>
    <t>QUESTION:  What is the expected cost with the new card system?  Not know at this point.  Need followup with Trustees.  $3,300 is otherwise a good estimate with existing security (includes patrols)</t>
  </si>
  <si>
    <r>
      <t xml:space="preserve">Use any excess to pay off line of credit and build a facilities fund
QUESTON:  Kim, what is the balance at end of December for the Line of credit?  </t>
    </r>
    <r>
      <rPr>
        <b/>
        <sz val="11"/>
        <rFont val="Calibri"/>
        <family val="2"/>
        <scheme val="minor"/>
      </rPr>
      <t>$32,172.83</t>
    </r>
  </si>
  <si>
    <r>
      <t xml:space="preserve">QUESTON:  Need Final estimate from Kim.  </t>
    </r>
    <r>
      <rPr>
        <b/>
        <sz val="11"/>
        <rFont val="Calibri"/>
        <family val="2"/>
        <scheme val="minor"/>
      </rPr>
      <t>$1,650 is fine provided no additional draws are made nor interest rate increasing.</t>
    </r>
  </si>
  <si>
    <t>Increased for communion each week but reduced for no bubbles.  QUESTION:  What should be the budget?
  We need the input from the Deacons.  Reduction of services plus communion each week</t>
  </si>
  <si>
    <t>Baptismal Font project $3,000</t>
  </si>
  <si>
    <t>Increase 0% from 2015 budget</t>
  </si>
  <si>
    <t>Meal for family</t>
  </si>
  <si>
    <t>Adult Education</t>
  </si>
  <si>
    <t>Used to be PACE</t>
  </si>
  <si>
    <t>Mission Chaparon Fees $3,000 and $7000 Youth costs.  Increased $1,000 for Pizza with Pastor and other programs</t>
  </si>
  <si>
    <t>Membership needs to be told who is doing this?</t>
  </si>
  <si>
    <t>Paper, Pens, bulletin covers for funeral services - 
QUESTON:  Why is is so high through August?  Resupply of Bank checks, order of blinds for Pastor's office and Office Supply Set-up of office all abouut $1,500</t>
  </si>
  <si>
    <t>Lease payments $484 x2 x month plus copy costs
QUESTION:  What is driving higher costs this year? Rotating 1 computer per year (Secr, Kim, Janice, Director of Communication, Christain Education, Pastor).  Plus software</t>
  </si>
  <si>
    <t>Director of Communications</t>
  </si>
  <si>
    <t>Same as 2015
QUESTION:  Why has nothing been paid this year to date yet?  Donated time through Sept.  So starting in Sept will be paid</t>
  </si>
  <si>
    <t>4 hours per week Sept-May (less Lent)</t>
  </si>
  <si>
    <t>$1,000/Month in second 1/2 of 2015 and $1500/month for 2016</t>
  </si>
  <si>
    <t>Director of Traditional Worship</t>
  </si>
  <si>
    <t>Staff Gift Cards at Christmas - anyone who gets a paycheck equally</t>
  </si>
  <si>
    <t>Dirctory of Youth Ministry</t>
  </si>
  <si>
    <t>Director of Christian Education</t>
  </si>
  <si>
    <t>Flutist $200/month - same as 2015
QUESTON:  Why only $400 through August 2015?  Flutist was covering for the organist so it was reported there for 2015.  $50/week has been budgeted.</t>
  </si>
  <si>
    <t>Assumes 17 hrs/week for 52 Weeks at $14.28/hour
QUESTION:  Confirm hours and rate.  Confirmed.  Increased 1% brings hourly rate to $14.42/hour for 2016 - new staff</t>
  </si>
  <si>
    <t>Moved to under Evangelism in 2016</t>
  </si>
  <si>
    <t>Do we plan to have the gowns?  Not significant $ so leave as committee requested</t>
  </si>
  <si>
    <t>Expect to hire June 2016 ($5k for 1/2 year)</t>
  </si>
  <si>
    <t>Pastor</t>
  </si>
  <si>
    <t>QUESTON:  Kim, please provide an estimate (from ELC Board of Pensions).  This is dependent on Pasor's Elections with Portico.  Election deadline is October 30.  Kim provided $26,772.72 (email from Jay W. 11/17/2015)</t>
  </si>
  <si>
    <t>QUESTON:  Kim, please provide an estimate.  This is dependent on Pasor's Elections with Portico.  Election deadline is October 30.  It will be zero for Paster per Kim (email from Jay W. 11/17/2015)</t>
  </si>
  <si>
    <t>QUESTON:  Kim, please provide an estimate (from ELC Board of Pensions).  This is dependent on Pasor's Elections with Portico.  Election deadline is October 30.  Kim provided $5,754.38 (email from Jay W.  11/17/2015)</t>
  </si>
  <si>
    <t>QUESTON:  Kim, please provide an estimate.  This is dependent on Janice's Elections with Portico.  Election deadline is October 30.  Kim provided $3,298 (email from Jay W.  11/17/2015)</t>
  </si>
  <si>
    <t>QUESTION:  Kim, can you provide an estimate?  $3,300 for 2016.  FOLLOW UP - what is causing the increase?  Per Kim (email from Jay W.  11/17/2015):  Janice and Dori are $90/month and Pastor is $95/month = $275/month or $3,300 annually</t>
  </si>
  <si>
    <t>Flutist and Extra Music</t>
  </si>
  <si>
    <r>
      <rPr>
        <b/>
        <sz val="11"/>
        <rFont val="Calibri"/>
        <family val="2"/>
        <scheme val="minor"/>
      </rPr>
      <t xml:space="preserve">QUESTION: </t>
    </r>
    <r>
      <rPr>
        <sz val="11"/>
        <rFont val="Calibri"/>
        <family val="2"/>
        <scheme val="minor"/>
      </rPr>
      <t xml:space="preserve"> Need to know where this will be in 2016.  Carthage College.  Pastor will check into this furtherl.  4 lay voting members and 2 rostered leaders = $1,200</t>
    </r>
  </si>
  <si>
    <t>QUESTON:  Kim, please provide an estimate.  Use 2015 budget - may go down slightly but not likely.  Does this account for the new Director of Communications position?  Answer: Yes, offset by Dr Miritz</t>
  </si>
  <si>
    <t>QUESTON:  What is the hours/week and rate per hour?  30 hours/week for 52 weeks at $12.00/hour.  Increased 1% brings hourly rate to $12.12 for 2016</t>
  </si>
  <si>
    <t>Total adjusted Expected Income</t>
  </si>
  <si>
    <t>Per Letter of Call - Synod expenses go under Misc. Programs</t>
  </si>
  <si>
    <t>Support Pastor</t>
  </si>
  <si>
    <t>Total Director of Communications</t>
  </si>
  <si>
    <t>Staff Salary and Wages *</t>
  </si>
  <si>
    <t>New Positions for 2016:</t>
  </si>
  <si>
    <t>Positions not replaces for 2016:</t>
  </si>
  <si>
    <t xml:space="preserve">     Director of Communications</t>
  </si>
  <si>
    <t xml:space="preserve">     Director of Christian Education</t>
  </si>
  <si>
    <t xml:space="preserve">      Support Pastor</t>
  </si>
  <si>
    <t xml:space="preserve">      Youth Choir Accompianist</t>
  </si>
  <si>
    <t>Staff meeting lunches - Per Pastor's Letter of Call</t>
  </si>
  <si>
    <t>Nov YTD Actual</t>
  </si>
  <si>
    <t>Nov YTD Budget</t>
  </si>
  <si>
    <t>Misc Expenses</t>
  </si>
  <si>
    <t>This is to cover Advent Lunches (where sometimes the goodwill offerring is not enough), and other like approved expenses.</t>
  </si>
  <si>
    <t>$1,200 for Joe and then $300 for others to cover off weeks (removed $2,870 for Media and moved to $1,000 to Evangelism and the rest to the line of credit)</t>
  </si>
  <si>
    <t>Evangelism campaign (yard signs, mailing).  Third week of September.  Includes the old Advertising line, $2,000 from postage (not planning the large mailing in 2016) and $1,000 from Projection/ Media Development to support the redesign of the website</t>
  </si>
  <si>
    <r>
      <t xml:space="preserve">QUESTON:  Need Final estimate from Kim.  </t>
    </r>
    <r>
      <rPr>
        <b/>
        <sz val="11"/>
        <rFont val="Calibri"/>
        <family val="2"/>
        <scheme val="minor"/>
      </rPr>
      <t>Mortgage will be paid off in December per Kim</t>
    </r>
  </si>
  <si>
    <t>QUESTON:  Kim, please provide an estimate.  Email from Jay W. (working with Kim) 12/1/2015, should be $12,550,  Reduced $382.50 for Director of Christian Eductation - per Kim</t>
  </si>
  <si>
    <t>2016 Budget vs 2015 Budget</t>
  </si>
  <si>
    <t>$</t>
  </si>
  <si>
    <t>%</t>
  </si>
  <si>
    <t>NOTE:  Any additional funds throughout the year will go to pay off the line of credit.</t>
  </si>
  <si>
    <t>*    Excludes new positions and those not replaced but Includes salary increases.  Increases will be distributed 
      based on performance reviews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</si>
</sst>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&quot;$&quot;* #,##0.000_);_(&quot;$&quot;* \(#,##0.0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8F8F8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44546A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164" fontId="0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0" fillId="0" borderId="0" xfId="2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vertical="center"/>
    </xf>
    <xf numFmtId="166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2" fillId="2" borderId="0" xfId="1" applyNumberFormat="1" applyFont="1" applyFill="1" applyAlignment="1">
      <alignment vertical="center"/>
    </xf>
    <xf numFmtId="165" fontId="2" fillId="2" borderId="0" xfId="2" applyNumberFormat="1" applyFont="1" applyFill="1" applyAlignment="1">
      <alignment horizontal="center" vertical="center"/>
    </xf>
    <xf numFmtId="164" fontId="2" fillId="8" borderId="0" xfId="1" applyNumberFormat="1" applyFont="1" applyFill="1" applyAlignment="1">
      <alignment vertical="center"/>
    </xf>
    <xf numFmtId="164" fontId="2" fillId="8" borderId="0" xfId="1" quotePrefix="1" applyNumberFormat="1" applyFont="1" applyFill="1" applyAlignment="1">
      <alignment vertical="center"/>
    </xf>
    <xf numFmtId="165" fontId="2" fillId="8" borderId="0" xfId="2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quotePrefix="1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165" fontId="2" fillId="0" borderId="0" xfId="2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164" fontId="2" fillId="3" borderId="0" xfId="1" applyNumberFormat="1" applyFont="1" applyFill="1" applyAlignment="1">
      <alignment vertical="center"/>
    </xf>
    <xf numFmtId="165" fontId="2" fillId="3" borderId="0" xfId="2" applyNumberFormat="1" applyFont="1" applyFill="1" applyAlignment="1">
      <alignment horizontal="center" vertical="center"/>
    </xf>
    <xf numFmtId="164" fontId="0" fillId="3" borderId="0" xfId="1" applyNumberFormat="1" applyFont="1" applyFill="1" applyAlignment="1">
      <alignment vertical="center"/>
    </xf>
    <xf numFmtId="164" fontId="3" fillId="3" borderId="0" xfId="1" applyNumberFormat="1" applyFont="1" applyFill="1" applyAlignment="1">
      <alignment vertical="center"/>
    </xf>
    <xf numFmtId="164" fontId="1" fillId="3" borderId="0" xfId="1" applyNumberFormat="1" applyFont="1" applyFill="1" applyAlignment="1">
      <alignment vertical="center"/>
    </xf>
    <xf numFmtId="164" fontId="2" fillId="4" borderId="0" xfId="1" applyNumberFormat="1" applyFont="1" applyFill="1" applyAlignment="1">
      <alignment vertical="center"/>
    </xf>
    <xf numFmtId="165" fontId="2" fillId="4" borderId="0" xfId="2" applyNumberFormat="1" applyFont="1" applyFill="1" applyAlignment="1">
      <alignment horizontal="center" vertical="center"/>
    </xf>
    <xf numFmtId="44" fontId="0" fillId="0" borderId="0" xfId="1" applyNumberFormat="1" applyFont="1" applyAlignment="1">
      <alignment vertical="center"/>
    </xf>
    <xf numFmtId="164" fontId="2" fillId="5" borderId="0" xfId="1" applyNumberFormat="1" applyFont="1" applyFill="1" applyAlignment="1">
      <alignment vertical="center"/>
    </xf>
    <xf numFmtId="165" fontId="2" fillId="5" borderId="0" xfId="2" applyNumberFormat="1" applyFont="1" applyFill="1" applyAlignment="1">
      <alignment horizontal="center" vertical="center"/>
    </xf>
    <xf numFmtId="164" fontId="2" fillId="6" borderId="0" xfId="1" applyNumberFormat="1" applyFont="1" applyFill="1" applyAlignment="1">
      <alignment vertical="center"/>
    </xf>
    <xf numFmtId="165" fontId="2" fillId="6" borderId="0" xfId="2" applyNumberFormat="1" applyFont="1" applyFill="1" applyAlignment="1">
      <alignment horizontal="center" vertical="center"/>
    </xf>
    <xf numFmtId="164" fontId="2" fillId="7" borderId="0" xfId="1" applyNumberFormat="1" applyFont="1" applyFill="1" applyAlignment="1">
      <alignment vertical="center"/>
    </xf>
    <xf numFmtId="164" fontId="0" fillId="7" borderId="0" xfId="1" applyNumberFormat="1" applyFont="1" applyFill="1" applyAlignment="1">
      <alignment vertical="center"/>
    </xf>
    <xf numFmtId="165" fontId="2" fillId="7" borderId="0" xfId="2" applyNumberFormat="1" applyFont="1" applyFill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165" fontId="2" fillId="4" borderId="0" xfId="2" applyNumberFormat="1" applyFont="1" applyFill="1" applyAlignment="1">
      <alignment horizontal="left" vertical="center"/>
    </xf>
    <xf numFmtId="9" fontId="9" fillId="0" borderId="0" xfId="2" applyFont="1" applyAlignment="1">
      <alignment vertical="center"/>
    </xf>
    <xf numFmtId="164" fontId="0" fillId="0" borderId="0" xfId="1" applyNumberFormat="1" applyFont="1" applyAlignment="1">
      <alignment horizontal="center" vertical="center" wrapText="1"/>
    </xf>
    <xf numFmtId="164" fontId="2" fillId="3" borderId="0" xfId="1" applyNumberFormat="1" applyFont="1" applyFill="1" applyAlignment="1">
      <alignment vertical="center"/>
    </xf>
    <xf numFmtId="164" fontId="9" fillId="0" borderId="0" xfId="1" applyNumberFormat="1" applyFont="1" applyAlignment="1">
      <alignment vertical="center"/>
    </xf>
    <xf numFmtId="164" fontId="2" fillId="0" borderId="2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44" fontId="9" fillId="0" borderId="0" xfId="1" applyNumberFormat="1" applyFont="1" applyAlignment="1">
      <alignment vertical="center"/>
    </xf>
    <xf numFmtId="0" fontId="11" fillId="0" borderId="0" xfId="0" applyFont="1"/>
    <xf numFmtId="0" fontId="12" fillId="2" borderId="0" xfId="0" applyFont="1" applyFill="1" applyAlignment="1">
      <alignment horizontal="center"/>
    </xf>
    <xf numFmtId="37" fontId="0" fillId="0" borderId="0" xfId="3" applyNumberFormat="1" applyFont="1" applyAlignment="1">
      <alignment horizontal="center" vertical="center"/>
    </xf>
    <xf numFmtId="37" fontId="2" fillId="0" borderId="0" xfId="3" applyNumberFormat="1" applyFont="1" applyAlignment="1">
      <alignment horizontal="center" vertical="center"/>
    </xf>
    <xf numFmtId="164" fontId="10" fillId="8" borderId="0" xfId="1" applyNumberFormat="1" applyFont="1" applyFill="1" applyAlignment="1">
      <alignment vertical="center"/>
    </xf>
    <xf numFmtId="164" fontId="10" fillId="3" borderId="0" xfId="1" applyNumberFormat="1" applyFont="1" applyFill="1" applyAlignment="1">
      <alignment vertical="center"/>
    </xf>
    <xf numFmtId="164" fontId="9" fillId="3" borderId="0" xfId="1" applyNumberFormat="1" applyFont="1" applyFill="1" applyAlignment="1">
      <alignment vertical="center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left" vertical="center" wrapText="1"/>
    </xf>
    <xf numFmtId="165" fontId="13" fillId="7" borderId="0" xfId="2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vertical="center"/>
    </xf>
    <xf numFmtId="165" fontId="0" fillId="0" borderId="0" xfId="2" applyNumberFormat="1" applyFont="1" applyAlignment="1">
      <alignment vertical="center"/>
    </xf>
    <xf numFmtId="166" fontId="0" fillId="0" borderId="0" xfId="1" applyNumberFormat="1" applyFont="1" applyAlignment="1">
      <alignment vertical="center"/>
    </xf>
    <xf numFmtId="43" fontId="0" fillId="0" borderId="0" xfId="3" applyFont="1" applyAlignment="1">
      <alignment vertical="center"/>
    </xf>
    <xf numFmtId="164" fontId="0" fillId="0" borderId="0" xfId="1" applyNumberFormat="1" applyFont="1" applyAlignment="1">
      <alignment horizontal="left" vertical="center" wrapText="1"/>
    </xf>
    <xf numFmtId="164" fontId="14" fillId="0" borderId="0" xfId="1" applyNumberFormat="1" applyFont="1" applyAlignment="1">
      <alignment vertical="center"/>
    </xf>
    <xf numFmtId="164" fontId="15" fillId="0" borderId="0" xfId="1" applyNumberFormat="1" applyFont="1" applyAlignment="1">
      <alignment vertical="center"/>
    </xf>
    <xf numFmtId="164" fontId="1" fillId="0" borderId="0" xfId="1" applyNumberFormat="1" applyFont="1" applyAlignment="1">
      <alignment vertical="center"/>
    </xf>
    <xf numFmtId="164" fontId="0" fillId="0" borderId="0" xfId="1" applyNumberFormat="1" applyFont="1" applyAlignment="1">
      <alignment horizontal="left" vertical="center" wrapText="1"/>
    </xf>
    <xf numFmtId="164" fontId="2" fillId="9" borderId="0" xfId="1" applyNumberFormat="1" applyFont="1" applyFill="1" applyAlignment="1">
      <alignment horizontal="left" vertical="center" wrapText="1"/>
    </xf>
    <xf numFmtId="165" fontId="16" fillId="9" borderId="0" xfId="2" applyNumberFormat="1" applyFont="1" applyFill="1" applyAlignment="1">
      <alignment horizontal="right" vertical="center" wrapText="1"/>
    </xf>
    <xf numFmtId="164" fontId="17" fillId="0" borderId="0" xfId="1" applyNumberFormat="1" applyFont="1" applyAlignment="1">
      <alignment vertical="center"/>
    </xf>
    <xf numFmtId="164" fontId="15" fillId="0" borderId="0" xfId="1" applyNumberFormat="1" applyFont="1" applyAlignment="1">
      <alignment horizontal="center" vertical="center" wrapText="1"/>
    </xf>
    <xf numFmtId="164" fontId="13" fillId="0" borderId="0" xfId="1" applyNumberFormat="1" applyFont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164" fontId="14" fillId="0" borderId="0" xfId="1" applyNumberFormat="1" applyFont="1" applyAlignment="1">
      <alignment horizontal="right" vertical="center"/>
    </xf>
    <xf numFmtId="164" fontId="16" fillId="8" borderId="0" xfId="1" applyNumberFormat="1" applyFont="1" applyFill="1" applyAlignment="1">
      <alignment vertical="center"/>
    </xf>
    <xf numFmtId="164" fontId="9" fillId="0" borderId="0" xfId="1" applyNumberFormat="1" applyFont="1" applyAlignment="1">
      <alignment horizontal="center" vertical="center" wrapText="1"/>
    </xf>
    <xf numFmtId="164" fontId="10" fillId="0" borderId="0" xfId="1" applyNumberFormat="1" applyFont="1" applyAlignment="1">
      <alignment horizontal="center" vertical="center" wrapText="1"/>
    </xf>
    <xf numFmtId="164" fontId="9" fillId="0" borderId="0" xfId="1" applyNumberFormat="1" applyFont="1" applyFill="1" applyAlignment="1">
      <alignment horizontal="center" vertical="center" wrapText="1"/>
    </xf>
    <xf numFmtId="164" fontId="9" fillId="0" borderId="0" xfId="1" quotePrefix="1" applyNumberFormat="1" applyFont="1" applyAlignment="1">
      <alignment horizontal="center" vertical="center" wrapText="1"/>
    </xf>
    <xf numFmtId="164" fontId="9" fillId="10" borderId="0" xfId="1" applyNumberFormat="1" applyFont="1" applyFill="1" applyAlignment="1">
      <alignment horizontal="center" vertical="center" wrapText="1"/>
    </xf>
    <xf numFmtId="164" fontId="16" fillId="3" borderId="0" xfId="1" applyNumberFormat="1" applyFont="1" applyFill="1" applyAlignment="1">
      <alignment vertical="center"/>
    </xf>
    <xf numFmtId="164" fontId="16" fillId="0" borderId="8" xfId="1" applyNumberFormat="1" applyFont="1" applyBorder="1" applyAlignment="1">
      <alignment horizontal="center" vertical="center" wrapText="1"/>
    </xf>
    <xf numFmtId="164" fontId="10" fillId="2" borderId="0" xfId="1" applyNumberFormat="1" applyFont="1" applyFill="1" applyAlignment="1">
      <alignment horizontal="center" vertical="center" wrapText="1"/>
    </xf>
    <xf numFmtId="164" fontId="18" fillId="0" borderId="0" xfId="1" applyNumberFormat="1" applyFont="1" applyAlignment="1">
      <alignment vertical="center"/>
    </xf>
    <xf numFmtId="164" fontId="9" fillId="0" borderId="0" xfId="1" quotePrefix="1" applyNumberFormat="1" applyFont="1" applyFill="1" applyAlignment="1">
      <alignment horizontal="center" vertical="center" wrapText="1"/>
    </xf>
    <xf numFmtId="0" fontId="19" fillId="0" borderId="0" xfId="0" applyFont="1"/>
    <xf numFmtId="164" fontId="0" fillId="0" borderId="0" xfId="1" applyNumberFormat="1" applyFont="1" applyAlignment="1">
      <alignment horizontal="left" vertical="center" wrapText="1"/>
    </xf>
    <xf numFmtId="164" fontId="6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" fontId="2" fillId="7" borderId="4" xfId="1" applyNumberFormat="1" applyFont="1" applyFill="1" applyBorder="1" applyAlignment="1">
      <alignment horizontal="center" vertical="center"/>
    </xf>
    <xf numFmtId="1" fontId="2" fillId="7" borderId="6" xfId="1" applyNumberFormat="1" applyFont="1" applyFill="1" applyBorder="1" applyAlignment="1">
      <alignment horizontal="center" vertical="center"/>
    </xf>
    <xf numFmtId="1" fontId="2" fillId="7" borderId="5" xfId="1" applyNumberFormat="1" applyFont="1" applyFill="1" applyBorder="1" applyAlignment="1">
      <alignment horizontal="center" vertical="center"/>
    </xf>
    <xf numFmtId="1" fontId="2" fillId="7" borderId="1" xfId="1" applyNumberFormat="1" applyFont="1" applyFill="1" applyBorder="1" applyAlignment="1">
      <alignment horizontal="center" vertical="center"/>
    </xf>
    <xf numFmtId="1" fontId="2" fillId="7" borderId="2" xfId="1" applyNumberFormat="1" applyFont="1" applyFill="1" applyBorder="1" applyAlignment="1">
      <alignment horizontal="center" vertical="center"/>
    </xf>
    <xf numFmtId="1" fontId="2" fillId="7" borderId="3" xfId="1" applyNumberFormat="1" applyFont="1" applyFill="1" applyBorder="1" applyAlignment="1">
      <alignment horizontal="center" vertical="center"/>
    </xf>
    <xf numFmtId="1" fontId="16" fillId="7" borderId="4" xfId="1" applyNumberFormat="1" applyFont="1" applyFill="1" applyBorder="1" applyAlignment="1">
      <alignment horizontal="center" vertical="center"/>
    </xf>
    <xf numFmtId="1" fontId="16" fillId="7" borderId="6" xfId="1" applyNumberFormat="1" applyFont="1" applyFill="1" applyBorder="1" applyAlignment="1">
      <alignment horizontal="center" vertical="center"/>
    </xf>
    <xf numFmtId="1" fontId="16" fillId="7" borderId="5" xfId="1" applyNumberFormat="1" applyFont="1" applyFill="1" applyBorder="1" applyAlignment="1">
      <alignment horizontal="center" vertical="center"/>
    </xf>
    <xf numFmtId="164" fontId="17" fillId="0" borderId="0" xfId="1" applyNumberFormat="1" applyFont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/>
    </xf>
    <xf numFmtId="1" fontId="2" fillId="0" borderId="3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Alignment="1">
      <alignment vertical="center"/>
    </xf>
    <xf numFmtId="164" fontId="16" fillId="0" borderId="4" xfId="1" applyNumberFormat="1" applyFont="1" applyBorder="1" applyAlignment="1">
      <alignment horizontal="center" vertical="center" wrapText="1"/>
    </xf>
    <xf numFmtId="164" fontId="16" fillId="0" borderId="9" xfId="1" applyNumberFormat="1" applyFont="1" applyBorder="1" applyAlignment="1">
      <alignment horizontal="center" vertical="center" wrapText="1"/>
    </xf>
    <xf numFmtId="164" fontId="16" fillId="0" borderId="6" xfId="1" applyNumberFormat="1" applyFont="1" applyBorder="1" applyAlignment="1">
      <alignment horizontal="center" vertical="center" wrapText="1"/>
    </xf>
    <xf numFmtId="164" fontId="16" fillId="0" borderId="8" xfId="1" applyNumberFormat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4" fontId="16" fillId="0" borderId="3" xfId="1" applyNumberFormat="1" applyFont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  <color rgb="FF0000FF"/>
      <color rgb="FFF8F8F8"/>
      <color rgb="FFCCFFCC"/>
      <color rgb="FFFFFFCC"/>
      <color rgb="FF808000"/>
      <color rgb="FFCCCC00"/>
      <color rgb="FFFFCC66"/>
      <color rgb="FFB8CCE4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5"/>
  <sheetViews>
    <sheetView showGridLines="0" workbookViewId="0">
      <selection activeCell="C2" sqref="C2"/>
    </sheetView>
  </sheetViews>
  <sheetFormatPr defaultRowHeight="23.25" x14ac:dyDescent="0.35"/>
  <cols>
    <col min="1" max="1" width="23.140625" style="50" customWidth="1"/>
    <col min="2" max="16384" width="9.140625" style="50"/>
  </cols>
  <sheetData>
    <row r="2" spans="1:4" x14ac:dyDescent="0.35">
      <c r="A2" s="50" t="s">
        <v>121</v>
      </c>
      <c r="C2" s="51">
        <v>2014</v>
      </c>
    </row>
    <row r="5" spans="1:4" x14ac:dyDescent="0.35">
      <c r="A5" s="50" t="s">
        <v>120</v>
      </c>
      <c r="C5" s="51">
        <v>9</v>
      </c>
      <c r="D5" s="50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40"/>
  <sheetViews>
    <sheetView showGridLines="0" tabSelected="1" topLeftCell="B86" zoomScaleNormal="100" workbookViewId="0">
      <selection activeCell="F106" sqref="F106"/>
    </sheetView>
  </sheetViews>
  <sheetFormatPr defaultRowHeight="15" x14ac:dyDescent="0.25"/>
  <cols>
    <col min="1" max="1" width="4.42578125" style="52" hidden="1" customWidth="1"/>
    <col min="2" max="2" width="4.28515625" style="4" customWidth="1"/>
    <col min="3" max="3" width="9.140625" style="1"/>
    <col min="4" max="4" width="25.140625" style="1" customWidth="1"/>
    <col min="5" max="6" width="12.140625" style="1" customWidth="1"/>
    <col min="7" max="7" width="12.5703125" style="1" customWidth="1"/>
    <col min="8" max="8" width="2.5703125" style="1" customWidth="1"/>
    <col min="9" max="9" width="12.5703125" style="1" bestFit="1" customWidth="1"/>
    <col min="10" max="10" width="11.7109375" style="1" customWidth="1"/>
    <col min="11" max="11" width="10" style="46" bestFit="1" customWidth="1"/>
    <col min="12" max="12" width="10" style="1" bestFit="1" customWidth="1"/>
    <col min="13" max="13" width="9.140625" style="1"/>
    <col min="14" max="14" width="13.42578125" style="1" customWidth="1"/>
    <col min="15" max="15" width="9.5703125" style="1" bestFit="1" customWidth="1"/>
    <col min="16" max="16384" width="9.140625" style="1"/>
  </cols>
  <sheetData>
    <row r="1" spans="1:11" ht="41.25" customHeight="1" x14ac:dyDescent="0.25">
      <c r="B1" s="90" t="s">
        <v>105</v>
      </c>
      <c r="C1" s="90"/>
      <c r="D1" s="90"/>
      <c r="E1" s="90"/>
      <c r="F1" s="90"/>
      <c r="G1" s="90"/>
      <c r="H1" s="90"/>
      <c r="I1" s="90"/>
      <c r="J1" s="90"/>
      <c r="K1" s="90"/>
    </row>
    <row r="2" spans="1:11" ht="8.25" customHeight="1" x14ac:dyDescent="0.25"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18" customHeight="1" x14ac:dyDescent="0.25">
      <c r="E3" s="95" t="s">
        <v>104</v>
      </c>
      <c r="F3" s="96"/>
      <c r="G3" s="97"/>
      <c r="I3" s="92" t="str">
        <f>+'New Year-Full Year'!M2</f>
        <v>2015 Year to Date (YTD)</v>
      </c>
      <c r="J3" s="93"/>
      <c r="K3" s="94"/>
    </row>
    <row r="4" spans="1:11" s="4" customFormat="1" ht="44.25" customHeight="1" x14ac:dyDescent="0.25">
      <c r="A4" s="53"/>
      <c r="E4" s="57" t="str">
        <f>+'New Year-Full Year'!H3</f>
        <v>2016 Budget</v>
      </c>
      <c r="F4" s="48" t="str">
        <f>+'New Year-Full Year'!I3</f>
        <v>2015 Budget</v>
      </c>
      <c r="G4" s="58" t="str">
        <f>+'New Year-Full Year'!K4</f>
        <v>%</v>
      </c>
      <c r="I4" s="2" t="str">
        <f>+'New Year-Full Year'!M3</f>
        <v>Nov YTD Actual</v>
      </c>
      <c r="J4" s="45" t="str">
        <f>+'New Year-Full Year'!N3</f>
        <v>Nov YTD Budget</v>
      </c>
      <c r="K4" s="3" t="s">
        <v>103</v>
      </c>
    </row>
    <row r="5" spans="1:11" s="4" customFormat="1" ht="18.75" x14ac:dyDescent="0.25">
      <c r="A5" s="53"/>
      <c r="B5" s="10" t="s">
        <v>0</v>
      </c>
      <c r="E5" s="11"/>
      <c r="F5" s="47"/>
      <c r="G5" s="47"/>
      <c r="I5" s="47"/>
      <c r="J5" s="47"/>
      <c r="K5" s="47"/>
    </row>
    <row r="6" spans="1:11" x14ac:dyDescent="0.25">
      <c r="A6" s="52">
        <v>1</v>
      </c>
      <c r="B6" s="4" t="s">
        <v>1</v>
      </c>
    </row>
    <row r="7" spans="1:11" x14ac:dyDescent="0.25">
      <c r="A7" s="52">
        <v>2</v>
      </c>
      <c r="C7" s="1" t="s">
        <v>1</v>
      </c>
      <c r="E7" s="44">
        <f>+'New Year-Full Year'!H7</f>
        <v>536136.74</v>
      </c>
      <c r="F7" s="44">
        <f>+'New Year-Full Year'!I7</f>
        <v>536136.74</v>
      </c>
      <c r="G7" s="6">
        <f t="shared" ref="G7:G12" si="0">IF(F7=0,"NA",(+E7-F7)/F7)</f>
        <v>0</v>
      </c>
      <c r="I7" s="44">
        <f>+'New Year-Full Year'!M7</f>
        <v>469073.9</v>
      </c>
      <c r="J7" s="44">
        <f>+'New Year-Full Year'!N7</f>
        <v>497998.16</v>
      </c>
      <c r="K7" s="6">
        <f t="shared" ref="K7:K12" si="1">IF(J7=0,"NA",(+I7-J7)/J7)</f>
        <v>-5.8081057970173933E-2</v>
      </c>
    </row>
    <row r="8" spans="1:11" x14ac:dyDescent="0.25">
      <c r="A8" s="52">
        <v>4</v>
      </c>
      <c r="C8" s="1" t="s">
        <v>2</v>
      </c>
      <c r="E8" s="44">
        <f>+'New Year-Full Year'!H8</f>
        <v>4000</v>
      </c>
      <c r="F8" s="44">
        <f>+'New Year-Full Year'!I8</f>
        <v>4000</v>
      </c>
      <c r="G8" s="6">
        <f t="shared" si="0"/>
        <v>0</v>
      </c>
      <c r="I8" s="44">
        <f>+'New Year-Full Year'!M8</f>
        <v>4393</v>
      </c>
      <c r="J8" s="44">
        <f>+'New Year-Full Year'!N8</f>
        <v>4000</v>
      </c>
      <c r="K8" s="6">
        <f t="shared" si="1"/>
        <v>9.8250000000000004E-2</v>
      </c>
    </row>
    <row r="9" spans="1:11" x14ac:dyDescent="0.25">
      <c r="A9" s="52">
        <v>5</v>
      </c>
      <c r="C9" s="1" t="s">
        <v>3</v>
      </c>
      <c r="E9" s="44">
        <f>+'New Year-Full Year'!H9</f>
        <v>1000</v>
      </c>
      <c r="F9" s="44">
        <f>+'New Year-Full Year'!I9</f>
        <v>1000</v>
      </c>
      <c r="G9" s="6">
        <f t="shared" si="0"/>
        <v>0</v>
      </c>
      <c r="I9" s="44">
        <f>+'New Year-Full Year'!M9</f>
        <v>449</v>
      </c>
      <c r="J9" s="44">
        <f>+'New Year-Full Year'!N9</f>
        <v>1000</v>
      </c>
      <c r="K9" s="6">
        <f t="shared" si="1"/>
        <v>-0.55100000000000005</v>
      </c>
    </row>
    <row r="10" spans="1:11" x14ac:dyDescent="0.25">
      <c r="A10" s="52">
        <v>6</v>
      </c>
      <c r="C10" s="1" t="s">
        <v>4</v>
      </c>
      <c r="E10" s="44">
        <f>+'New Year-Full Year'!H10</f>
        <v>5000</v>
      </c>
      <c r="F10" s="44">
        <f>+'New Year-Full Year'!I10</f>
        <v>5000</v>
      </c>
      <c r="G10" s="6">
        <f t="shared" si="0"/>
        <v>0</v>
      </c>
      <c r="I10" s="44">
        <f>+'New Year-Full Year'!M10</f>
        <v>0</v>
      </c>
      <c r="J10" s="44">
        <f>+'New Year-Full Year'!N10</f>
        <v>0</v>
      </c>
      <c r="K10" s="6" t="str">
        <f t="shared" si="1"/>
        <v>NA</v>
      </c>
    </row>
    <row r="11" spans="1:11" x14ac:dyDescent="0.25">
      <c r="A11" s="52">
        <v>7</v>
      </c>
      <c r="C11" s="1" t="s">
        <v>5</v>
      </c>
      <c r="E11" s="44">
        <f>+'New Year-Full Year'!H11</f>
        <v>2000</v>
      </c>
      <c r="F11" s="44">
        <f>+'New Year-Full Year'!I11</f>
        <v>2000</v>
      </c>
      <c r="G11" s="6">
        <f t="shared" si="0"/>
        <v>0</v>
      </c>
      <c r="I11" s="44">
        <f>+'New Year-Full Year'!M11</f>
        <v>2423</v>
      </c>
      <c r="J11" s="44">
        <f>+'New Year-Full Year'!N11</f>
        <v>2000</v>
      </c>
      <c r="K11" s="6">
        <f t="shared" si="1"/>
        <v>0.21149999999999999</v>
      </c>
    </row>
    <row r="12" spans="1:11" x14ac:dyDescent="0.25">
      <c r="A12" s="52">
        <v>8</v>
      </c>
      <c r="B12" s="14" t="s">
        <v>6</v>
      </c>
      <c r="C12" s="14"/>
      <c r="D12" s="14"/>
      <c r="E12" s="14">
        <f>SUM(E7:E11)</f>
        <v>548136.74</v>
      </c>
      <c r="F12" s="14">
        <f>SUM(F7:F11)</f>
        <v>548136.74</v>
      </c>
      <c r="G12" s="15">
        <f t="shared" si="0"/>
        <v>0</v>
      </c>
      <c r="I12" s="14">
        <f>SUM(I7:I11)</f>
        <v>476338.9</v>
      </c>
      <c r="J12" s="14">
        <f>SUM(J7:J11)</f>
        <v>504998.16</v>
      </c>
      <c r="K12" s="15">
        <f t="shared" si="1"/>
        <v>-5.6751216677700278E-2</v>
      </c>
    </row>
    <row r="13" spans="1:11" ht="5.25" customHeight="1" x14ac:dyDescent="0.25">
      <c r="A13" s="52">
        <v>9</v>
      </c>
      <c r="G13" s="46"/>
    </row>
    <row r="14" spans="1:11" x14ac:dyDescent="0.25">
      <c r="A14" s="52">
        <v>10</v>
      </c>
      <c r="B14" s="4" t="s">
        <v>7</v>
      </c>
      <c r="G14" s="46"/>
    </row>
    <row r="15" spans="1:11" x14ac:dyDescent="0.25">
      <c r="A15" s="52">
        <v>11</v>
      </c>
      <c r="C15" s="1" t="s">
        <v>8</v>
      </c>
      <c r="E15" s="44">
        <f>+'New Year-Full Year'!H15</f>
        <v>7500</v>
      </c>
      <c r="F15" s="44">
        <f>+'New Year-Full Year'!I15</f>
        <v>7500</v>
      </c>
      <c r="G15" s="6">
        <f t="shared" ref="G15:G21" si="2">IF(F15=0,"NA",(+E15-F15)/F15)</f>
        <v>0</v>
      </c>
      <c r="I15" s="44">
        <f>+'New Year-Full Year'!M15</f>
        <v>6025.63</v>
      </c>
      <c r="J15" s="44">
        <f>+'New Year-Full Year'!N15</f>
        <v>6875</v>
      </c>
      <c r="K15" s="6">
        <f t="shared" ref="K15:K21" si="3">IF(J15=0,"NA",(+I15-J15)/J15)</f>
        <v>-0.12354472727272725</v>
      </c>
    </row>
    <row r="16" spans="1:11" x14ac:dyDescent="0.25">
      <c r="A16" s="52">
        <v>12</v>
      </c>
      <c r="C16" s="1" t="s">
        <v>7</v>
      </c>
      <c r="E16" s="44">
        <f>+'New Year-Full Year'!H16</f>
        <v>0</v>
      </c>
      <c r="F16" s="44">
        <f>+'New Year-Full Year'!I16</f>
        <v>0</v>
      </c>
      <c r="G16" s="6" t="str">
        <f t="shared" si="2"/>
        <v>NA</v>
      </c>
      <c r="I16" s="44">
        <f>+'New Year-Full Year'!M16</f>
        <v>3401.59</v>
      </c>
      <c r="J16" s="44">
        <f>+'New Year-Full Year'!N16</f>
        <v>0</v>
      </c>
      <c r="K16" s="6" t="str">
        <f t="shared" si="3"/>
        <v>NA</v>
      </c>
    </row>
    <row r="17" spans="1:11" hidden="1" x14ac:dyDescent="0.25">
      <c r="A17" s="52">
        <v>13</v>
      </c>
      <c r="C17" s="1" t="s">
        <v>9</v>
      </c>
      <c r="E17" s="44">
        <f>+'New Year-Full Year'!H17</f>
        <v>0</v>
      </c>
      <c r="F17" s="44">
        <f>+'New Year-Full Year'!I17</f>
        <v>0</v>
      </c>
      <c r="G17" s="6" t="str">
        <f t="shared" si="2"/>
        <v>NA</v>
      </c>
      <c r="I17" s="44">
        <f>+'New Year-Full Year'!M17</f>
        <v>0</v>
      </c>
      <c r="J17" s="44">
        <f>+'New Year-Full Year'!N17</f>
        <v>0</v>
      </c>
      <c r="K17" s="6" t="str">
        <f t="shared" si="3"/>
        <v>NA</v>
      </c>
    </row>
    <row r="18" spans="1:11" x14ac:dyDescent="0.25">
      <c r="A18" s="52">
        <v>14</v>
      </c>
      <c r="C18" s="1" t="s">
        <v>11</v>
      </c>
      <c r="E18" s="44">
        <f>+'New Year-Full Year'!H18</f>
        <v>0</v>
      </c>
      <c r="F18" s="44">
        <f>+'New Year-Full Year'!I18</f>
        <v>0</v>
      </c>
      <c r="G18" s="6" t="str">
        <f t="shared" si="2"/>
        <v>NA</v>
      </c>
      <c r="I18" s="44">
        <f>+'New Year-Full Year'!M18</f>
        <v>1.41</v>
      </c>
      <c r="J18" s="44">
        <f>+'New Year-Full Year'!N18</f>
        <v>0</v>
      </c>
      <c r="K18" s="6" t="str">
        <f t="shared" si="3"/>
        <v>NA</v>
      </c>
    </row>
    <row r="19" spans="1:11" x14ac:dyDescent="0.25">
      <c r="A19" s="52">
        <v>15</v>
      </c>
      <c r="C19" s="1" t="s">
        <v>116</v>
      </c>
      <c r="E19" s="44">
        <f>+'New Year-Full Year'!H19</f>
        <v>0</v>
      </c>
      <c r="F19" s="44">
        <f>+'New Year-Full Year'!I19</f>
        <v>0</v>
      </c>
      <c r="G19" s="6" t="str">
        <f t="shared" si="2"/>
        <v>NA</v>
      </c>
      <c r="I19" s="44">
        <f>+'New Year-Full Year'!M19</f>
        <v>962</v>
      </c>
      <c r="J19" s="44">
        <f>+'New Year-Full Year'!N19</f>
        <v>0</v>
      </c>
      <c r="K19" s="6" t="str">
        <f t="shared" si="3"/>
        <v>NA</v>
      </c>
    </row>
    <row r="20" spans="1:11" x14ac:dyDescent="0.25">
      <c r="A20" s="52">
        <v>16</v>
      </c>
      <c r="B20" s="14" t="s">
        <v>10</v>
      </c>
      <c r="C20" s="14"/>
      <c r="D20" s="14"/>
      <c r="E20" s="14">
        <f>SUM(E15:E19)</f>
        <v>7500</v>
      </c>
      <c r="F20" s="14">
        <f>SUM(F15:F19)</f>
        <v>7500</v>
      </c>
      <c r="G20" s="15">
        <f t="shared" si="2"/>
        <v>0</v>
      </c>
      <c r="I20" s="14">
        <f>SUM(I15:I19)</f>
        <v>10390.630000000001</v>
      </c>
      <c r="J20" s="14">
        <f>SUM(J15:J19)</f>
        <v>6875</v>
      </c>
      <c r="K20" s="15">
        <f t="shared" si="3"/>
        <v>0.51136436363636384</v>
      </c>
    </row>
    <row r="21" spans="1:11" x14ac:dyDescent="0.25">
      <c r="A21" s="52">
        <v>17</v>
      </c>
      <c r="B21" s="14" t="s">
        <v>12</v>
      </c>
      <c r="C21" s="14"/>
      <c r="D21" s="14"/>
      <c r="E21" s="14">
        <f>+E12+E20</f>
        <v>555636.74</v>
      </c>
      <c r="F21" s="14">
        <f>+F12+F20</f>
        <v>555636.74</v>
      </c>
      <c r="G21" s="15">
        <f t="shared" si="2"/>
        <v>0</v>
      </c>
      <c r="I21" s="14">
        <f>+I12+I20</f>
        <v>486729.53</v>
      </c>
      <c r="J21" s="14">
        <f>+J12+J20</f>
        <v>511873.16</v>
      </c>
      <c r="K21" s="15">
        <f t="shared" si="3"/>
        <v>-4.9120821259704156E-2</v>
      </c>
    </row>
    <row r="22" spans="1:11" ht="6" customHeight="1" x14ac:dyDescent="0.25">
      <c r="A22" s="52">
        <v>18</v>
      </c>
      <c r="G22" s="46"/>
    </row>
    <row r="23" spans="1:11" ht="18.75" x14ac:dyDescent="0.25">
      <c r="A23" s="52">
        <v>19</v>
      </c>
      <c r="B23" s="10" t="s">
        <v>13</v>
      </c>
      <c r="G23" s="46"/>
    </row>
    <row r="24" spans="1:11" s="4" customFormat="1" x14ac:dyDescent="0.25">
      <c r="A24" s="52">
        <v>26</v>
      </c>
      <c r="B24" s="16"/>
      <c r="C24" s="17" t="s">
        <v>113</v>
      </c>
      <c r="D24" s="16"/>
      <c r="E24" s="16">
        <f>+'New Year-Full Year'!H30</f>
        <v>53701</v>
      </c>
      <c r="F24" s="16">
        <f>+'New Year-Full Year'!I30</f>
        <v>49570</v>
      </c>
      <c r="G24" s="18">
        <f>IF(F24=0,"NA",(+E24-F24)/F24)</f>
        <v>8.3336695582005252E-2</v>
      </c>
      <c r="H24" s="1"/>
      <c r="I24" s="16">
        <f>+'New Year-Full Year'!M30</f>
        <v>42096.99</v>
      </c>
      <c r="J24" s="16">
        <f>+'New Year-Full Year'!N30</f>
        <v>42750.61</v>
      </c>
      <c r="K24" s="18">
        <f>IF(J24=0,"NA",(+I24-J24)/J24)</f>
        <v>-1.5289138564338675E-2</v>
      </c>
    </row>
    <row r="25" spans="1:11" s="4" customFormat="1" ht="6.75" customHeight="1" x14ac:dyDescent="0.25">
      <c r="A25" s="52">
        <v>27</v>
      </c>
      <c r="B25" s="19"/>
      <c r="C25" s="20"/>
      <c r="D25" s="19"/>
      <c r="E25" s="19"/>
      <c r="F25" s="21"/>
      <c r="G25" s="22"/>
      <c r="H25" s="1"/>
      <c r="I25" s="21"/>
      <c r="J25" s="21"/>
      <c r="K25" s="22"/>
    </row>
    <row r="26" spans="1:11" s="4" customFormat="1" ht="18.75" x14ac:dyDescent="0.25">
      <c r="A26" s="52">
        <v>28</v>
      </c>
      <c r="B26" s="23" t="s">
        <v>76</v>
      </c>
      <c r="C26" s="20"/>
      <c r="D26" s="19"/>
      <c r="E26" s="19"/>
      <c r="F26" s="21"/>
      <c r="G26" s="22"/>
      <c r="H26" s="19"/>
      <c r="I26" s="21"/>
      <c r="J26" s="21"/>
      <c r="K26" s="22"/>
    </row>
    <row r="27" spans="1:11" x14ac:dyDescent="0.25">
      <c r="A27" s="52">
        <v>29</v>
      </c>
      <c r="B27" s="4" t="s">
        <v>18</v>
      </c>
      <c r="G27" s="46"/>
    </row>
    <row r="28" spans="1:11" x14ac:dyDescent="0.25">
      <c r="A28" s="52">
        <v>30</v>
      </c>
      <c r="C28" s="1" t="s">
        <v>102</v>
      </c>
      <c r="E28" s="44">
        <f>+'New Year-Full Year'!H34</f>
        <v>3000</v>
      </c>
      <c r="F28" s="44">
        <f>+'New Year-Full Year'!I34</f>
        <v>3000</v>
      </c>
      <c r="G28" s="6">
        <f t="shared" ref="G28:G35" si="4">IF(F28=0,"NA",(+E28-F28)/F28)</f>
        <v>0</v>
      </c>
      <c r="I28" s="44">
        <f>+'New Year-Full Year'!M34</f>
        <v>1236.03</v>
      </c>
      <c r="J28" s="44">
        <f>+'New Year-Full Year'!N34</f>
        <v>2700</v>
      </c>
      <c r="K28" s="6">
        <f t="shared" ref="K28:K35" si="5">IF(J28=0,"NA",(+I28-J28)/J28)</f>
        <v>-0.54221111111111109</v>
      </c>
    </row>
    <row r="29" spans="1:11" x14ac:dyDescent="0.25">
      <c r="A29" s="52">
        <v>31</v>
      </c>
      <c r="C29" s="1" t="s">
        <v>19</v>
      </c>
      <c r="E29" s="44">
        <f>+'New Year-Full Year'!H35</f>
        <v>1281</v>
      </c>
      <c r="F29" s="44">
        <f>+'New Year-Full Year'!I35</f>
        <v>1000</v>
      </c>
      <c r="G29" s="6">
        <f t="shared" si="4"/>
        <v>0.28100000000000003</v>
      </c>
      <c r="I29" s="44">
        <f>+'New Year-Full Year'!M35</f>
        <v>1132.4100000000001</v>
      </c>
      <c r="J29" s="44">
        <f>+'New Year-Full Year'!N35</f>
        <v>889</v>
      </c>
      <c r="K29" s="6">
        <f t="shared" si="5"/>
        <v>0.27380202474690674</v>
      </c>
    </row>
    <row r="30" spans="1:11" x14ac:dyDescent="0.25">
      <c r="A30" s="52">
        <v>32</v>
      </c>
      <c r="C30" s="1" t="s">
        <v>20</v>
      </c>
      <c r="E30" s="44">
        <f>+'New Year-Full Year'!H36</f>
        <v>1000</v>
      </c>
      <c r="F30" s="44">
        <f>+'New Year-Full Year'!I36</f>
        <v>1200</v>
      </c>
      <c r="G30" s="6">
        <f t="shared" si="4"/>
        <v>-0.16666666666666666</v>
      </c>
      <c r="I30" s="44">
        <f>+'New Year-Full Year'!M36</f>
        <v>1147.1300000000001</v>
      </c>
      <c r="J30" s="44">
        <f>+'New Year-Full Year'!N36</f>
        <v>1200</v>
      </c>
      <c r="K30" s="6">
        <f t="shared" si="5"/>
        <v>-4.4058333333333241E-2</v>
      </c>
    </row>
    <row r="31" spans="1:11" x14ac:dyDescent="0.25">
      <c r="A31" s="52">
        <v>33</v>
      </c>
      <c r="C31" s="1" t="s">
        <v>21</v>
      </c>
      <c r="E31" s="44">
        <f>+'New Year-Full Year'!H37</f>
        <v>500</v>
      </c>
      <c r="F31" s="44">
        <f>+'New Year-Full Year'!I37</f>
        <v>300</v>
      </c>
      <c r="G31" s="6">
        <f t="shared" si="4"/>
        <v>0.66666666666666663</v>
      </c>
      <c r="I31" s="44">
        <f>+'New Year-Full Year'!M37</f>
        <v>291.73</v>
      </c>
      <c r="J31" s="44">
        <f>+'New Year-Full Year'!N37</f>
        <v>0</v>
      </c>
      <c r="K31" s="6" t="str">
        <f t="shared" si="5"/>
        <v>NA</v>
      </c>
    </row>
    <row r="32" spans="1:11" x14ac:dyDescent="0.25">
      <c r="A32" s="52">
        <v>34</v>
      </c>
      <c r="C32" s="1" t="s">
        <v>22</v>
      </c>
      <c r="E32" s="44">
        <f>+'New Year-Full Year'!H38</f>
        <v>400</v>
      </c>
      <c r="F32" s="44">
        <f>+'New Year-Full Year'!I38</f>
        <v>140</v>
      </c>
      <c r="G32" s="6">
        <f t="shared" si="4"/>
        <v>1.8571428571428572</v>
      </c>
      <c r="I32" s="44">
        <f>+'New Year-Full Year'!M38</f>
        <v>65.59</v>
      </c>
      <c r="J32" s="44">
        <f>+'New Year-Full Year'!N38</f>
        <v>140</v>
      </c>
      <c r="K32" s="6">
        <f t="shared" si="5"/>
        <v>-0.53149999999999997</v>
      </c>
    </row>
    <row r="33" spans="1:11" x14ac:dyDescent="0.25">
      <c r="C33" s="1" t="s">
        <v>212</v>
      </c>
      <c r="E33" s="44">
        <f>+'New Year-Full Year'!H39</f>
        <v>750</v>
      </c>
      <c r="F33" s="44">
        <f>+'New Year-Full Year'!I39</f>
        <v>750</v>
      </c>
      <c r="G33" s="6">
        <f t="shared" si="4"/>
        <v>0</v>
      </c>
      <c r="I33" s="44">
        <f>+'New Year-Full Year'!M39</f>
        <v>1066.94</v>
      </c>
      <c r="J33" s="44">
        <f>+'New Year-Full Year'!N39</f>
        <v>687.5</v>
      </c>
      <c r="K33" s="6">
        <f t="shared" ref="K33" si="6">IF(J33=0,"NA",(+I33-J33)/J33)</f>
        <v>0.55191272727272733</v>
      </c>
    </row>
    <row r="34" spans="1:11" x14ac:dyDescent="0.25">
      <c r="A34" s="52">
        <v>35</v>
      </c>
      <c r="C34" s="1" t="s">
        <v>106</v>
      </c>
      <c r="E34" s="44">
        <f>+'New Year-Full Year'!H40</f>
        <v>400</v>
      </c>
      <c r="F34" s="44">
        <f>+'New Year-Full Year'!I40</f>
        <v>400</v>
      </c>
      <c r="G34" s="6">
        <f t="shared" si="4"/>
        <v>0</v>
      </c>
      <c r="I34" s="44">
        <f>+'New Year-Full Year'!M40</f>
        <v>466.43</v>
      </c>
      <c r="J34" s="44">
        <f>+'New Year-Full Year'!N40</f>
        <v>366.63</v>
      </c>
      <c r="K34" s="6">
        <f t="shared" si="5"/>
        <v>0.2722090390857268</v>
      </c>
    </row>
    <row r="35" spans="1:11" s="4" customFormat="1" x14ac:dyDescent="0.25">
      <c r="A35" s="52">
        <v>36</v>
      </c>
      <c r="B35" s="43" t="s">
        <v>23</v>
      </c>
      <c r="C35" s="43"/>
      <c r="D35" s="43"/>
      <c r="E35" s="43">
        <f>SUM(E28:E34)</f>
        <v>7331</v>
      </c>
      <c r="F35" s="43">
        <f>SUM(F28:F34)</f>
        <v>6790</v>
      </c>
      <c r="G35" s="25">
        <f t="shared" si="4"/>
        <v>7.9675994108983794E-2</v>
      </c>
      <c r="I35" s="43">
        <f>SUM(I28:I34)</f>
        <v>5406.26</v>
      </c>
      <c r="J35" s="43">
        <f>SUM(J28:J34)</f>
        <v>5983.13</v>
      </c>
      <c r="K35" s="25">
        <f t="shared" si="5"/>
        <v>-9.6416089906119357E-2</v>
      </c>
    </row>
    <row r="36" spans="1:11" ht="6" customHeight="1" x14ac:dyDescent="0.25">
      <c r="A36" s="52">
        <v>37</v>
      </c>
      <c r="G36" s="46"/>
    </row>
    <row r="37" spans="1:11" x14ac:dyDescent="0.25">
      <c r="A37" s="52">
        <v>40</v>
      </c>
      <c r="B37" s="4" t="s">
        <v>24</v>
      </c>
      <c r="G37" s="46"/>
    </row>
    <row r="38" spans="1:11" x14ac:dyDescent="0.25">
      <c r="A38" s="52">
        <v>41</v>
      </c>
      <c r="C38" s="1" t="s">
        <v>26</v>
      </c>
      <c r="E38" s="44">
        <f>+'New Year-Full Year'!H44</f>
        <v>5200</v>
      </c>
      <c r="F38" s="44">
        <f>+'New Year-Full Year'!I44</f>
        <v>5200</v>
      </c>
      <c r="G38" s="6">
        <f>IF(F38=0,"NA",(+E38-F38)/F38)</f>
        <v>0</v>
      </c>
      <c r="I38" s="44">
        <f>+'New Year-Full Year'!M44</f>
        <v>6300.01</v>
      </c>
      <c r="J38" s="44">
        <f>+'New Year-Full Year'!N44</f>
        <v>4766.63</v>
      </c>
      <c r="K38" s="6">
        <f>IF(J38=0,"NA",(+I38-J38)/J38)</f>
        <v>0.32169058643108445</v>
      </c>
    </row>
    <row r="39" spans="1:11" x14ac:dyDescent="0.25">
      <c r="A39" s="52">
        <v>42</v>
      </c>
      <c r="C39" s="1" t="s">
        <v>27</v>
      </c>
      <c r="E39" s="44">
        <f>+'New Year-Full Year'!H45</f>
        <v>1300</v>
      </c>
      <c r="F39" s="44">
        <f>+'New Year-Full Year'!I45</f>
        <v>1300</v>
      </c>
      <c r="G39" s="6">
        <f>IF(F39=0,"NA",(+E39-F39)/F39)</f>
        <v>0</v>
      </c>
      <c r="I39" s="44">
        <f>+'New Year-Full Year'!M45</f>
        <v>650</v>
      </c>
      <c r="J39" s="44">
        <f>+'New Year-Full Year'!N45</f>
        <v>1191.6300000000001</v>
      </c>
      <c r="K39" s="6">
        <f>IF(J39=0,"NA",(+I39-J39)/J39)</f>
        <v>-0.45452867081224879</v>
      </c>
    </row>
    <row r="40" spans="1:11" x14ac:dyDescent="0.25">
      <c r="A40" s="52">
        <v>43</v>
      </c>
      <c r="C40" s="1" t="s">
        <v>28</v>
      </c>
      <c r="E40" s="44">
        <f>+'New Year-Full Year'!H46</f>
        <v>200</v>
      </c>
      <c r="F40" s="44">
        <f>+'New Year-Full Year'!I46</f>
        <v>800</v>
      </c>
      <c r="G40" s="6">
        <f>IF(F40=0,"NA",(+E40-F40)/F40)</f>
        <v>-0.75</v>
      </c>
      <c r="I40" s="44">
        <f>+'New Year-Full Year'!M46</f>
        <v>136.83000000000001</v>
      </c>
      <c r="J40" s="44">
        <f>+'New Year-Full Year'!N46</f>
        <v>733.37</v>
      </c>
      <c r="K40" s="6">
        <f>IF(J40=0,"NA",(+I40-J40)/J40)</f>
        <v>-0.81342296521537549</v>
      </c>
    </row>
    <row r="41" spans="1:11" x14ac:dyDescent="0.25">
      <c r="A41" s="52">
        <v>44</v>
      </c>
      <c r="C41" s="1" t="s">
        <v>29</v>
      </c>
      <c r="E41" s="44">
        <f>+'New Year-Full Year'!H47</f>
        <v>200</v>
      </c>
      <c r="F41" s="44">
        <f>+'New Year-Full Year'!I47</f>
        <v>200</v>
      </c>
      <c r="G41" s="6">
        <f>IF(F41=0,"NA",(+E41-F41)/F41)</f>
        <v>0</v>
      </c>
      <c r="I41" s="44">
        <f>+'New Year-Full Year'!M47</f>
        <v>34</v>
      </c>
      <c r="J41" s="44">
        <f>+'New Year-Full Year'!N47</f>
        <v>183.37</v>
      </c>
      <c r="K41" s="6">
        <f>IF(J41=0,"NA",(+I41-J41)/J41)</f>
        <v>-0.81458253803784697</v>
      </c>
    </row>
    <row r="42" spans="1:11" s="4" customFormat="1" x14ac:dyDescent="0.25">
      <c r="A42" s="52">
        <v>45</v>
      </c>
      <c r="B42" s="43" t="s">
        <v>25</v>
      </c>
      <c r="C42" s="43"/>
      <c r="D42" s="43"/>
      <c r="E42" s="43">
        <f>SUM(E38:E41)</f>
        <v>6900</v>
      </c>
      <c r="F42" s="43">
        <f>SUM(F38:F41)</f>
        <v>7500</v>
      </c>
      <c r="G42" s="25">
        <f>IF(F42=0,"NA",(+E42-F42)/F42)</f>
        <v>-0.08</v>
      </c>
      <c r="I42" s="43">
        <f>SUM(I38:I41)</f>
        <v>7120.84</v>
      </c>
      <c r="J42" s="43">
        <f>SUM(J38:J41)</f>
        <v>6875</v>
      </c>
      <c r="K42" s="25">
        <f>IF(J42=0,"NA",(+I42-J42)/J42)</f>
        <v>3.5758545454545473E-2</v>
      </c>
    </row>
    <row r="43" spans="1:11" ht="6.75" customHeight="1" x14ac:dyDescent="0.25">
      <c r="A43" s="52">
        <v>46</v>
      </c>
      <c r="G43" s="46"/>
    </row>
    <row r="44" spans="1:11" s="4" customFormat="1" x14ac:dyDescent="0.25">
      <c r="A44" s="52">
        <v>51</v>
      </c>
      <c r="B44" s="43" t="s">
        <v>30</v>
      </c>
      <c r="C44" s="43"/>
      <c r="D44" s="43"/>
      <c r="E44" s="43">
        <f>+'New Year-Full Year'!H50</f>
        <v>11000</v>
      </c>
      <c r="F44" s="43">
        <f>+'New Year-Full Year'!I50</f>
        <v>8000</v>
      </c>
      <c r="G44" s="25">
        <f>IF(F44=0,"NA",(+E44-F44)/F44)</f>
        <v>0.375</v>
      </c>
      <c r="I44" s="43">
        <f>+'New Year-Full Year'!M50</f>
        <v>3666.81</v>
      </c>
      <c r="J44" s="43">
        <f>+'New Year-Full Year'!N50</f>
        <v>7333.37</v>
      </c>
      <c r="K44" s="25">
        <f>IF(J44=0,"NA",(+I44-J44)/J44)</f>
        <v>-0.49998295463068138</v>
      </c>
    </row>
    <row r="45" spans="1:11" ht="6.75" customHeight="1" x14ac:dyDescent="0.25">
      <c r="A45" s="52">
        <v>52</v>
      </c>
      <c r="G45" s="46"/>
    </row>
    <row r="46" spans="1:11" x14ac:dyDescent="0.25">
      <c r="A46" s="52">
        <v>53</v>
      </c>
      <c r="B46" s="4" t="s">
        <v>115</v>
      </c>
      <c r="G46" s="46"/>
    </row>
    <row r="47" spans="1:11" x14ac:dyDescent="0.25">
      <c r="A47" s="52">
        <v>54</v>
      </c>
      <c r="C47" s="1" t="s">
        <v>117</v>
      </c>
      <c r="E47" s="44">
        <f>+'New Year-Full Year'!H53</f>
        <v>400</v>
      </c>
      <c r="F47" s="44">
        <f>+'New Year-Full Year'!I53</f>
        <v>300</v>
      </c>
      <c r="G47" s="6">
        <f>IF(F47=0,"NA",(+E47-F47)/F47)</f>
        <v>0.33333333333333331</v>
      </c>
      <c r="I47" s="44">
        <f>+'New Year-Full Year'!M53</f>
        <v>122.18</v>
      </c>
      <c r="J47" s="44">
        <f>+'New Year-Full Year'!N53</f>
        <v>275</v>
      </c>
      <c r="K47" s="6">
        <f>IF(J47=0,"NA",(+I47-J47)/J47)</f>
        <v>-0.55570909090909093</v>
      </c>
    </row>
    <row r="48" spans="1:11" x14ac:dyDescent="0.25">
      <c r="A48" s="52">
        <v>55</v>
      </c>
      <c r="C48" s="1" t="s">
        <v>110</v>
      </c>
      <c r="E48" s="44">
        <f>+'New Year-Full Year'!H54</f>
        <v>500</v>
      </c>
      <c r="F48" s="44">
        <f>+'New Year-Full Year'!I54</f>
        <v>300</v>
      </c>
      <c r="G48" s="6">
        <f>IF(F48=0,"NA",(+E48-F48)/F48)</f>
        <v>0.66666666666666663</v>
      </c>
      <c r="I48" s="44">
        <f>+'New Year-Full Year'!M54</f>
        <v>292.51</v>
      </c>
      <c r="J48" s="44">
        <f>+'New Year-Full Year'!N54</f>
        <v>275</v>
      </c>
      <c r="K48" s="6">
        <f>IF(J48=0,"NA",(+I48-J48)/J48)</f>
        <v>6.3672727272727242E-2</v>
      </c>
    </row>
    <row r="49" spans="1:11" s="4" customFormat="1" x14ac:dyDescent="0.25">
      <c r="A49" s="52">
        <v>56</v>
      </c>
      <c r="B49" s="43" t="s">
        <v>109</v>
      </c>
      <c r="C49" s="43"/>
      <c r="D49" s="43"/>
      <c r="E49" s="43">
        <f>SUM(E47:E48)</f>
        <v>900</v>
      </c>
      <c r="F49" s="43">
        <f>SUM(F47:F48)</f>
        <v>600</v>
      </c>
      <c r="G49" s="25">
        <f>IF(F49=0,"NA",(+E49-F49)/F49)</f>
        <v>0.5</v>
      </c>
      <c r="I49" s="43">
        <f>SUM(I47:I48)</f>
        <v>414.69</v>
      </c>
      <c r="J49" s="43">
        <f>SUM(J47:J48)</f>
        <v>550</v>
      </c>
      <c r="K49" s="25">
        <f>IF(J49=0,"NA",(+I49-J49)/J49)</f>
        <v>-0.24601818181818183</v>
      </c>
    </row>
    <row r="50" spans="1:11" ht="5.25" customHeight="1" x14ac:dyDescent="0.25">
      <c r="A50" s="52">
        <v>57</v>
      </c>
      <c r="G50" s="46"/>
    </row>
    <row r="51" spans="1:11" x14ac:dyDescent="0.25">
      <c r="A51" s="52">
        <v>58</v>
      </c>
      <c r="B51" s="43" t="s">
        <v>31</v>
      </c>
      <c r="C51" s="26"/>
      <c r="D51" s="26"/>
      <c r="E51" s="55">
        <f>+'New Year-Full Year'!H57</f>
        <v>200</v>
      </c>
      <c r="F51" s="55">
        <f>+'New Year-Full Year'!I57</f>
        <v>200</v>
      </c>
      <c r="G51" s="25">
        <f>IF(F51=0,"NA",(+E51-F51)/F51)</f>
        <v>0</v>
      </c>
      <c r="I51" s="55">
        <f>+'New Year-Full Year'!M57</f>
        <v>200</v>
      </c>
      <c r="J51" s="55">
        <f>+'New Year-Full Year'!N57</f>
        <v>183.37</v>
      </c>
      <c r="K51" s="25">
        <f>IF(J51=0,"NA",(+I51-J51)/J51)</f>
        <v>9.0690952718547171E-2</v>
      </c>
    </row>
    <row r="52" spans="1:11" ht="6" customHeight="1" x14ac:dyDescent="0.25">
      <c r="A52" s="52">
        <v>59</v>
      </c>
      <c r="G52" s="46"/>
    </row>
    <row r="53" spans="1:11" x14ac:dyDescent="0.25">
      <c r="A53" s="52">
        <v>60</v>
      </c>
      <c r="B53" s="4" t="s">
        <v>32</v>
      </c>
      <c r="G53" s="46"/>
    </row>
    <row r="54" spans="1:11" x14ac:dyDescent="0.25">
      <c r="A54" s="52">
        <v>61</v>
      </c>
      <c r="C54" s="1" t="s">
        <v>33</v>
      </c>
      <c r="E54" s="44">
        <f>+'New Year-Full Year'!H60</f>
        <v>200</v>
      </c>
      <c r="F54" s="44">
        <f>+'New Year-Full Year'!I60</f>
        <v>200</v>
      </c>
      <c r="G54" s="6">
        <f t="shared" ref="G54:G60" si="7">IF(F54=0,"NA",(+E54-F54)/F54)</f>
        <v>0</v>
      </c>
      <c r="I54" s="44">
        <f>+'New Year-Full Year'!M60</f>
        <v>297.86</v>
      </c>
      <c r="J54" s="44">
        <f>+'New Year-Full Year'!N60</f>
        <v>200</v>
      </c>
      <c r="K54" s="6">
        <f t="shared" ref="K54:K60" si="8">IF(J54=0,"NA",(+I54-J54)/J54)</f>
        <v>0.48930000000000007</v>
      </c>
    </row>
    <row r="55" spans="1:11" x14ac:dyDescent="0.25">
      <c r="A55" s="52">
        <v>62</v>
      </c>
      <c r="C55" s="1" t="s">
        <v>34</v>
      </c>
      <c r="E55" s="44">
        <f>+'New Year-Full Year'!H61</f>
        <v>800</v>
      </c>
      <c r="F55" s="44">
        <f>+'New Year-Full Year'!I61</f>
        <v>800</v>
      </c>
      <c r="G55" s="6">
        <f t="shared" si="7"/>
        <v>0</v>
      </c>
      <c r="I55" s="44">
        <f>+'New Year-Full Year'!M61</f>
        <v>817.52</v>
      </c>
      <c r="J55" s="44">
        <f>+'New Year-Full Year'!N61</f>
        <v>800</v>
      </c>
      <c r="K55" s="6">
        <f t="shared" si="8"/>
        <v>2.1899999999999979E-2</v>
      </c>
    </row>
    <row r="56" spans="1:11" x14ac:dyDescent="0.25">
      <c r="A56" s="52">
        <v>63</v>
      </c>
      <c r="C56" s="1" t="s">
        <v>35</v>
      </c>
      <c r="E56" s="44">
        <f>+'New Year-Full Year'!H62</f>
        <v>1200</v>
      </c>
      <c r="F56" s="44">
        <f>+'New Year-Full Year'!I62</f>
        <v>800</v>
      </c>
      <c r="G56" s="6">
        <f t="shared" si="7"/>
        <v>0.5</v>
      </c>
      <c r="I56" s="44">
        <f>+'New Year-Full Year'!M62</f>
        <v>900</v>
      </c>
      <c r="J56" s="44">
        <f>+'New Year-Full Year'!N62</f>
        <v>800</v>
      </c>
      <c r="K56" s="6">
        <f t="shared" si="8"/>
        <v>0.125</v>
      </c>
    </row>
    <row r="57" spans="1:11" x14ac:dyDescent="0.25">
      <c r="A57" s="52">
        <v>64</v>
      </c>
      <c r="C57" s="1" t="s">
        <v>36</v>
      </c>
      <c r="E57" s="44">
        <f>+'New Year-Full Year'!H63</f>
        <v>6000</v>
      </c>
      <c r="F57" s="44">
        <f>+'New Year-Full Year'!I63</f>
        <v>400</v>
      </c>
      <c r="G57" s="6">
        <f t="shared" si="7"/>
        <v>14</v>
      </c>
      <c r="I57" s="44">
        <f>+'New Year-Full Year'!M63</f>
        <v>19.899999999999999</v>
      </c>
      <c r="J57" s="44">
        <f>+'New Year-Full Year'!N63</f>
        <v>366.63</v>
      </c>
      <c r="K57" s="6">
        <f t="shared" si="8"/>
        <v>-0.94572184491176392</v>
      </c>
    </row>
    <row r="58" spans="1:11" x14ac:dyDescent="0.25">
      <c r="C58" s="1" t="s">
        <v>32</v>
      </c>
      <c r="E58" s="44">
        <f>+'New Year-Full Year'!H64</f>
        <v>300</v>
      </c>
      <c r="F58" s="44">
        <f>+'New Year-Full Year'!I64</f>
        <v>0</v>
      </c>
      <c r="G58" s="6" t="str">
        <f t="shared" ref="G58" si="9">IF(F58=0,"NA",(+E58-F58)/F58)</f>
        <v>NA</v>
      </c>
      <c r="I58" s="44">
        <f>+'New Year-Full Year'!M64</f>
        <v>0</v>
      </c>
      <c r="J58" s="44">
        <f>+'New Year-Full Year'!N64</f>
        <v>0</v>
      </c>
      <c r="K58" s="6" t="str">
        <f t="shared" ref="K58" si="10">IF(J58=0,"NA",(+I58-J58)/J58)</f>
        <v>NA</v>
      </c>
    </row>
    <row r="59" spans="1:11" x14ac:dyDescent="0.25">
      <c r="A59" s="52">
        <v>65</v>
      </c>
      <c r="C59" s="1" t="s">
        <v>37</v>
      </c>
      <c r="E59" s="44">
        <f>+'New Year-Full Year'!H65</f>
        <v>800</v>
      </c>
      <c r="F59" s="44">
        <f>+'New Year-Full Year'!I65</f>
        <v>800</v>
      </c>
      <c r="G59" s="6">
        <f t="shared" si="7"/>
        <v>0</v>
      </c>
      <c r="I59" s="44">
        <f>+'New Year-Full Year'!M65</f>
        <v>508</v>
      </c>
      <c r="J59" s="44">
        <f>+'New Year-Full Year'!N65</f>
        <v>733.37</v>
      </c>
      <c r="K59" s="6">
        <f t="shared" si="8"/>
        <v>-0.30730736190463204</v>
      </c>
    </row>
    <row r="60" spans="1:11" s="4" customFormat="1" x14ac:dyDescent="0.25">
      <c r="A60" s="52">
        <v>66</v>
      </c>
      <c r="B60" s="43" t="s">
        <v>38</v>
      </c>
      <c r="C60" s="43"/>
      <c r="D60" s="43"/>
      <c r="E60" s="43">
        <f>SUM(E54:E59)</f>
        <v>9300</v>
      </c>
      <c r="F60" s="43">
        <f>SUM(F54:F59)</f>
        <v>3000</v>
      </c>
      <c r="G60" s="25">
        <f t="shared" si="7"/>
        <v>2.1</v>
      </c>
      <c r="I60" s="43">
        <f>SUM(I54:I59)</f>
        <v>2543.2800000000002</v>
      </c>
      <c r="J60" s="43">
        <f>SUM(J54:J59)</f>
        <v>2900</v>
      </c>
      <c r="K60" s="25">
        <f t="shared" si="8"/>
        <v>-0.12300689655172407</v>
      </c>
    </row>
    <row r="61" spans="1:11" ht="6" customHeight="1" x14ac:dyDescent="0.25">
      <c r="A61" s="52">
        <v>67</v>
      </c>
      <c r="G61" s="46"/>
    </row>
    <row r="62" spans="1:11" x14ac:dyDescent="0.25">
      <c r="A62" s="52">
        <v>68</v>
      </c>
      <c r="B62" s="4" t="s">
        <v>39</v>
      </c>
      <c r="G62" s="46"/>
    </row>
    <row r="63" spans="1:11" x14ac:dyDescent="0.25">
      <c r="A63" s="52">
        <v>69</v>
      </c>
      <c r="C63" s="1" t="s">
        <v>40</v>
      </c>
      <c r="E63" s="44">
        <f>+'New Year-Full Year'!H69</f>
        <v>5000</v>
      </c>
      <c r="F63" s="44">
        <f>+'New Year-Full Year'!I69</f>
        <v>5000</v>
      </c>
      <c r="G63" s="6">
        <f t="shared" ref="G63:G70" si="11">IF(F63=0,"NA",(+E63-F63)/F63)</f>
        <v>0</v>
      </c>
      <c r="I63" s="44">
        <f>+'New Year-Full Year'!M69</f>
        <v>6912.27</v>
      </c>
      <c r="J63" s="44">
        <f>+'New Year-Full Year'!N69</f>
        <v>4583.37</v>
      </c>
      <c r="K63" s="6">
        <f t="shared" ref="K63:K70" si="12">IF(J63=0,"NA",(+I63-J63)/J63)</f>
        <v>0.50811957140706521</v>
      </c>
    </row>
    <row r="64" spans="1:11" x14ac:dyDescent="0.25">
      <c r="A64" s="52">
        <v>70</v>
      </c>
      <c r="C64" s="1" t="s">
        <v>41</v>
      </c>
      <c r="E64" s="44">
        <f>+'New Year-Full Year'!H70</f>
        <v>4000</v>
      </c>
      <c r="F64" s="44">
        <f>+'New Year-Full Year'!I70</f>
        <v>4500</v>
      </c>
      <c r="G64" s="6">
        <f t="shared" si="11"/>
        <v>-0.1111111111111111</v>
      </c>
      <c r="I64" s="44">
        <f>+'New Year-Full Year'!M70</f>
        <v>4913.66</v>
      </c>
      <c r="J64" s="44">
        <f>+'New Year-Full Year'!N70</f>
        <v>4125</v>
      </c>
      <c r="K64" s="6">
        <f t="shared" si="12"/>
        <v>0.19119030303030299</v>
      </c>
    </row>
    <row r="65" spans="1:13" x14ac:dyDescent="0.25">
      <c r="A65" s="52">
        <v>71</v>
      </c>
      <c r="C65" s="1" t="s">
        <v>118</v>
      </c>
      <c r="E65" s="44">
        <f>+'New Year-Full Year'!H71</f>
        <v>0</v>
      </c>
      <c r="F65" s="44">
        <f>+'New Year-Full Year'!I71</f>
        <v>500</v>
      </c>
      <c r="G65" s="6">
        <f t="shared" si="11"/>
        <v>-1</v>
      </c>
      <c r="I65" s="44">
        <f>+'New Year-Full Year'!M71</f>
        <v>460.14</v>
      </c>
      <c r="J65" s="44">
        <f>+'New Year-Full Year'!N71</f>
        <v>458.37</v>
      </c>
      <c r="K65" s="6">
        <f t="shared" si="12"/>
        <v>3.8615092610772561E-3</v>
      </c>
    </row>
    <row r="66" spans="1:13" x14ac:dyDescent="0.25">
      <c r="A66" s="52">
        <v>73</v>
      </c>
      <c r="C66" s="1" t="s">
        <v>42</v>
      </c>
      <c r="E66" s="44">
        <f>+'New Year-Full Year'!H72</f>
        <v>22000</v>
      </c>
      <c r="F66" s="44">
        <f>+'New Year-Full Year'!I72</f>
        <v>19000</v>
      </c>
      <c r="G66" s="6">
        <f t="shared" si="11"/>
        <v>0.15789473684210525</v>
      </c>
      <c r="I66" s="44">
        <f>+'New Year-Full Year'!M72</f>
        <v>18956.349999999999</v>
      </c>
      <c r="J66" s="44">
        <f>+'New Year-Full Year'!N72</f>
        <v>17416.63</v>
      </c>
      <c r="K66" s="6">
        <f t="shared" si="12"/>
        <v>8.8405162192685807E-2</v>
      </c>
    </row>
    <row r="67" spans="1:13" x14ac:dyDescent="0.25">
      <c r="A67" s="52">
        <v>74</v>
      </c>
      <c r="C67" s="1" t="s">
        <v>43</v>
      </c>
      <c r="E67" s="44">
        <f>+'New Year-Full Year'!H73</f>
        <v>700</v>
      </c>
      <c r="F67" s="44">
        <f>+'New Year-Full Year'!I73</f>
        <v>700</v>
      </c>
      <c r="G67" s="6">
        <f t="shared" si="11"/>
        <v>0</v>
      </c>
      <c r="I67" s="44">
        <f>+'New Year-Full Year'!M73</f>
        <v>724.07</v>
      </c>
      <c r="J67" s="44">
        <f>+'New Year-Full Year'!N73</f>
        <v>641.63</v>
      </c>
      <c r="K67" s="6">
        <f t="shared" si="12"/>
        <v>0.1284852640930132</v>
      </c>
    </row>
    <row r="68" spans="1:13" x14ac:dyDescent="0.25">
      <c r="A68" s="52">
        <v>75</v>
      </c>
      <c r="C68" s="1" t="s">
        <v>44</v>
      </c>
      <c r="E68" s="44">
        <f>+'New Year-Full Year'!H74</f>
        <v>1600</v>
      </c>
      <c r="F68" s="44">
        <f>+'New Year-Full Year'!I74</f>
        <v>1600</v>
      </c>
      <c r="G68" s="6">
        <f t="shared" si="11"/>
        <v>0</v>
      </c>
      <c r="I68" s="44">
        <f>+'New Year-Full Year'!M74</f>
        <v>1281.24</v>
      </c>
      <c r="J68" s="44">
        <f>+'New Year-Full Year'!N74</f>
        <v>1466.63</v>
      </c>
      <c r="K68" s="6">
        <f t="shared" si="12"/>
        <v>-0.12640543286309436</v>
      </c>
    </row>
    <row r="69" spans="1:13" s="4" customFormat="1" x14ac:dyDescent="0.25">
      <c r="A69" s="52">
        <v>76</v>
      </c>
      <c r="B69" s="43" t="s">
        <v>46</v>
      </c>
      <c r="C69" s="43"/>
      <c r="D69" s="43"/>
      <c r="E69" s="43">
        <f>SUM(E63:E68)</f>
        <v>33300</v>
      </c>
      <c r="F69" s="43">
        <f>SUM(F63:F68)</f>
        <v>31300</v>
      </c>
      <c r="G69" s="25">
        <f t="shared" si="11"/>
        <v>6.3897763578274758E-2</v>
      </c>
      <c r="I69" s="43">
        <f>SUM(I63:I68)</f>
        <v>33247.729999999996</v>
      </c>
      <c r="J69" s="43">
        <f>SUM(J63:J68)</f>
        <v>28691.630000000005</v>
      </c>
      <c r="K69" s="25">
        <f t="shared" si="12"/>
        <v>0.1587954396456385</v>
      </c>
    </row>
    <row r="70" spans="1:13" x14ac:dyDescent="0.25">
      <c r="A70" s="52">
        <v>77</v>
      </c>
      <c r="B70" s="43" t="s">
        <v>108</v>
      </c>
      <c r="C70" s="28"/>
      <c r="D70" s="28"/>
      <c r="E70" s="43">
        <f>+E35+E42+E44+E51+E60+E69+E49</f>
        <v>68931</v>
      </c>
      <c r="F70" s="43">
        <f>+F35+F42+F44+F51+F60+F69+F49</f>
        <v>57390</v>
      </c>
      <c r="G70" s="25">
        <f t="shared" si="11"/>
        <v>0.20109775222164139</v>
      </c>
      <c r="I70" s="43">
        <f>+I35+I42+I44+I51+I60+I69+I49</f>
        <v>52599.61</v>
      </c>
      <c r="J70" s="43">
        <f>+J35+J42+J44+J51+J60+J69+J49</f>
        <v>52516.5</v>
      </c>
      <c r="K70" s="25">
        <f t="shared" si="12"/>
        <v>1.5825502461131375E-3</v>
      </c>
    </row>
    <row r="71" spans="1:13" ht="8.25" customHeight="1" x14ac:dyDescent="0.25">
      <c r="A71" s="52">
        <v>78</v>
      </c>
      <c r="G71" s="46"/>
    </row>
    <row r="72" spans="1:13" ht="18.75" x14ac:dyDescent="0.25">
      <c r="A72" s="52">
        <v>79</v>
      </c>
      <c r="B72" s="10" t="s">
        <v>45</v>
      </c>
      <c r="G72" s="46"/>
    </row>
    <row r="73" spans="1:13" x14ac:dyDescent="0.25">
      <c r="A73" s="52">
        <v>81</v>
      </c>
      <c r="C73" s="89" t="s">
        <v>245</v>
      </c>
      <c r="D73" s="89"/>
      <c r="E73" s="44">
        <f>+'New Year-Full Year'!H$80+'New Year-Full Year'!H$82+'New Year-Full Year'!H$102+'New Year-Full Year'!H$105+'New Year-Full Year'!H$122+'New Year-Full Year'!H$125+'New Year-Full Year'!H$126+'New Year-Full Year'!H$131+'New Year-Full Year'!H$134+'New Year-Full Year'!H$130-'New Year-Full Year'!H120</f>
        <v>249892.44</v>
      </c>
      <c r="F73" s="44">
        <f>+'New Year-Full Year'!I$80+'New Year-Full Year'!I$82+'New Year-Full Year'!I$102+'New Year-Full Year'!I$105+'New Year-Full Year'!I$122+'New Year-Full Year'!I$125+'New Year-Full Year'!I$126+'New Year-Full Year'!I$131+'New Year-Full Year'!I$134+'New Year-Full Year'!I$130-'New Year-Full Year'!I120</f>
        <v>232877</v>
      </c>
      <c r="G73" s="6">
        <f>IF(F73=0,"NA",(+E73-F73)/F73)</f>
        <v>7.3066210918210056E-2</v>
      </c>
      <c r="I73" s="44">
        <f>+'New Year-Full Year'!M$80+'New Year-Full Year'!M$82+'New Year-Full Year'!M$102+'New Year-Full Year'!M$105+'New Year-Full Year'!M$122+'New Year-Full Year'!M$125+'New Year-Full Year'!M$126+'New Year-Full Year'!M$131+'New Year-Full Year'!M$134+'New Year-Full Year'!M$130-'New Year-Full Year'!M120</f>
        <v>220001.58000000002</v>
      </c>
      <c r="J73" s="44">
        <f>+'New Year-Full Year'!N$80+'New Year-Full Year'!N$82+'New Year-Full Year'!N$102+'New Year-Full Year'!N$105+'New Year-Full Year'!N$122+'New Year-Full Year'!N$125+'New Year-Full Year'!N$126+'New Year-Full Year'!N$131+'New Year-Full Year'!N$134+'New Year-Full Year'!N$130-'New Year-Full Year'!N120</f>
        <v>213470.62</v>
      </c>
      <c r="K73" s="6">
        <f t="shared" ref="K73:K83" si="13">IF(J73=0,"NA",(+I73-J73)/J73)</f>
        <v>3.0594186684800097E-2</v>
      </c>
      <c r="M73" s="62"/>
    </row>
    <row r="74" spans="1:13" x14ac:dyDescent="0.25">
      <c r="C74" s="89" t="s">
        <v>246</v>
      </c>
      <c r="D74" s="89"/>
      <c r="E74" s="44"/>
      <c r="F74" s="44"/>
      <c r="G74" s="6"/>
      <c r="I74" s="44"/>
      <c r="J74" s="44"/>
      <c r="K74" s="6"/>
      <c r="M74" s="62"/>
    </row>
    <row r="75" spans="1:13" x14ac:dyDescent="0.25">
      <c r="C75" s="89" t="s">
        <v>248</v>
      </c>
      <c r="D75" s="89"/>
      <c r="E75" s="44">
        <f>+'New Year-Full Year'!H90</f>
        <v>15000</v>
      </c>
      <c r="F75" s="44">
        <f>+'New Year-Full Year'!I90</f>
        <v>0</v>
      </c>
      <c r="G75" s="6" t="str">
        <f>IF(F75=0,"NA",(+E75-F75)/F75)</f>
        <v>NA</v>
      </c>
      <c r="I75" s="44">
        <f>+'New Year-Full Year'!M90</f>
        <v>625</v>
      </c>
      <c r="J75" s="44">
        <f>+'New Year-Full Year'!N90</f>
        <v>0</v>
      </c>
      <c r="K75" s="6" t="str">
        <f t="shared" ref="K75" si="14">IF(J75=0,"NA",(+I75-J75)/J75)</f>
        <v>NA</v>
      </c>
      <c r="M75" s="62"/>
    </row>
    <row r="76" spans="1:13" hidden="1" x14ac:dyDescent="0.25">
      <c r="C76" s="89" t="s">
        <v>249</v>
      </c>
      <c r="D76" s="89"/>
      <c r="E76" s="44">
        <f>+'New Year-Full Year'!H129</f>
        <v>0</v>
      </c>
      <c r="F76" s="44">
        <f>+'New Year-Full Year'!I129</f>
        <v>0</v>
      </c>
      <c r="G76" s="6" t="str">
        <f>IF(F76=0,"NA",(+E76-F76)/F76)</f>
        <v>NA</v>
      </c>
      <c r="I76" s="44">
        <f>+'New Year-Full Year'!L129</f>
        <v>0</v>
      </c>
      <c r="J76" s="44">
        <f>+'New Year-Full Year'!M129</f>
        <v>0</v>
      </c>
      <c r="K76" s="6" t="str">
        <f t="shared" ref="K76" si="15">IF(J76=0,"NA",(+I76-J76)/J76)</f>
        <v>NA</v>
      </c>
      <c r="M76" s="62"/>
    </row>
    <row r="77" spans="1:13" x14ac:dyDescent="0.25">
      <c r="C77" s="89" t="s">
        <v>251</v>
      </c>
      <c r="D77" s="89"/>
      <c r="E77" s="44">
        <f>+'New Year-Full Year'!H120</f>
        <v>1200</v>
      </c>
      <c r="F77" s="44">
        <f>+'New Year-Full Year'!I120</f>
        <v>0</v>
      </c>
      <c r="G77" s="6" t="str">
        <f>IF(F77=0,"NA",(+E77-F77)/F77)</f>
        <v>NA</v>
      </c>
      <c r="I77" s="44">
        <f>+'New Year-Full Year'!M120</f>
        <v>0</v>
      </c>
      <c r="J77" s="44">
        <f>+'New Year-Full Year'!N120</f>
        <v>0</v>
      </c>
      <c r="K77" s="6" t="str">
        <f t="shared" ref="K77" si="16">IF(J77=0,"NA",(+I77-J77)/J77)</f>
        <v>NA</v>
      </c>
      <c r="M77" s="62"/>
    </row>
    <row r="78" spans="1:13" x14ac:dyDescent="0.25">
      <c r="C78" s="89" t="s">
        <v>247</v>
      </c>
      <c r="D78" s="89"/>
      <c r="E78" s="44"/>
      <c r="F78" s="44"/>
      <c r="G78" s="6"/>
      <c r="I78" s="44"/>
      <c r="J78" s="44"/>
      <c r="K78" s="6"/>
      <c r="M78" s="62"/>
    </row>
    <row r="79" spans="1:13" x14ac:dyDescent="0.25">
      <c r="C79" s="89" t="s">
        <v>250</v>
      </c>
      <c r="D79" s="89"/>
      <c r="E79" s="44">
        <f>+'New Year-Full Year'!H95</f>
        <v>0</v>
      </c>
      <c r="F79" s="44">
        <f>+'New Year-Full Year'!I95</f>
        <v>11737</v>
      </c>
      <c r="G79" s="6">
        <f>IF(F79=0,"NA",(+E79-F79)/F79)</f>
        <v>-1</v>
      </c>
      <c r="I79" s="44">
        <f>+'New Year-Full Year'!M95</f>
        <v>9847.24</v>
      </c>
      <c r="J79" s="44">
        <f>+'New Year-Full Year'!N95</f>
        <v>10758.88</v>
      </c>
      <c r="K79" s="6">
        <f t="shared" ref="K79" si="17">IF(J79=0,"NA",(+I79-J79)/J79)</f>
        <v>-8.4733726930684192E-2</v>
      </c>
      <c r="M79" s="62"/>
    </row>
    <row r="80" spans="1:13" x14ac:dyDescent="0.25">
      <c r="A80" s="52">
        <v>83</v>
      </c>
      <c r="C80" s="1" t="s">
        <v>151</v>
      </c>
      <c r="E80" s="44">
        <f>+'New Year-Full Year'!H83+'New Year-Full Year'!H84+'New Year-Full Year'!H86+'New Year-Full Year'!H106+'New Year-Full Year'!H107+'New Year-Full Year'!H108+'New Year-Full Year'!H111+'New Year-Full Year'!H132+'New Year-Full Year'!H133</f>
        <v>53373.599999999999</v>
      </c>
      <c r="F80" s="44">
        <f>+'New Year-Full Year'!I83+'New Year-Full Year'!I84+'New Year-Full Year'!I86+'New Year-Full Year'!I106+'New Year-Full Year'!I107+'New Year-Full Year'!I108+'New Year-Full Year'!I111+'New Year-Full Year'!I132+'New Year-Full Year'!I133</f>
        <v>55618</v>
      </c>
      <c r="G80" s="6">
        <f>IF(F80=0,"NA",(+E80-F80)/F80)</f>
        <v>-4.0353842281275872E-2</v>
      </c>
      <c r="I80" s="44">
        <f>+'New Year-Full Year'!M83+'New Year-Full Year'!M84+'New Year-Full Year'!M86+'New Year-Full Year'!M106+'New Year-Full Year'!M107+'New Year-Full Year'!M108+'New Year-Full Year'!M111+'New Year-Full Year'!M132+'New Year-Full Year'!M133</f>
        <v>37080.58</v>
      </c>
      <c r="J80" s="44">
        <f>+'New Year-Full Year'!N83+'New Year-Full Year'!N84+'New Year-Full Year'!N86+'New Year-Full Year'!N106+'New Year-Full Year'!N107+'New Year-Full Year'!N108+'New Year-Full Year'!N111+'New Year-Full Year'!N132+'New Year-Full Year'!N133</f>
        <v>51269.009999999995</v>
      </c>
      <c r="K80" s="6">
        <f t="shared" si="13"/>
        <v>-0.27674476257684699</v>
      </c>
    </row>
    <row r="81" spans="1:11" x14ac:dyDescent="0.25">
      <c r="A81" s="52">
        <v>84</v>
      </c>
      <c r="C81" s="1" t="s">
        <v>152</v>
      </c>
      <c r="E81" s="44">
        <f>+'New Year-Full Year'!H85+'New Year-Full Year'!H81+'New Year-Full Year'!H91+'New Year-Full Year'!H96+'New Year-Full Year'!H109+'New Year-Full Year'!H110+'New Year-Full Year'!H127+'New Year-Full Year'!H128</f>
        <v>6900</v>
      </c>
      <c r="F81" s="44">
        <f>+'New Year-Full Year'!I85+'New Year-Full Year'!I81+'New Year-Full Year'!I91+'New Year-Full Year'!I96+'New Year-Full Year'!I109+'New Year-Full Year'!I110+'New Year-Full Year'!I127+'New Year-Full Year'!I128</f>
        <v>6300</v>
      </c>
      <c r="G81" s="6">
        <f>IF(F81=0,"NA",(+E81-F81)/F81)</f>
        <v>9.5238095238095233E-2</v>
      </c>
      <c r="I81" s="44">
        <f>+'New Year-Full Year'!M85+'New Year-Full Year'!M81+'New Year-Full Year'!M91+'New Year-Full Year'!M96+'New Year-Full Year'!M109+'New Year-Full Year'!M110+'New Year-Full Year'!M127+'New Year-Full Year'!M128</f>
        <v>3967.5200000000004</v>
      </c>
      <c r="J81" s="44">
        <f>+'New Year-Full Year'!N85+'New Year-Full Year'!N81+'New Year-Full Year'!N91+'New Year-Full Year'!N96+'New Year-Full Year'!N109+'New Year-Full Year'!N110+'New Year-Full Year'!N127+'New Year-Full Year'!N128</f>
        <v>5775</v>
      </c>
      <c r="K81" s="6">
        <f t="shared" si="13"/>
        <v>-0.3129835497835497</v>
      </c>
    </row>
    <row r="82" spans="1:11" x14ac:dyDescent="0.25">
      <c r="E82" s="44"/>
      <c r="F82" s="44"/>
      <c r="G82" s="6"/>
      <c r="I82" s="44"/>
      <c r="J82" s="44"/>
      <c r="K82" s="6"/>
    </row>
    <row r="83" spans="1:11" s="4" customFormat="1" x14ac:dyDescent="0.25">
      <c r="A83" s="52">
        <v>86</v>
      </c>
      <c r="B83" s="29" t="s">
        <v>158</v>
      </c>
      <c r="C83" s="29"/>
      <c r="D83" s="29"/>
      <c r="E83" s="29">
        <f>SUM(E73:E82)</f>
        <v>326366.03999999998</v>
      </c>
      <c r="F83" s="29">
        <f>SUM(F73:F82)</f>
        <v>306532</v>
      </c>
      <c r="G83" s="30">
        <f>IF(F83=0,"NA",(+E83-F83)/F83)</f>
        <v>6.4704631164119827E-2</v>
      </c>
      <c r="I83" s="29">
        <f>SUM(I73:I82)</f>
        <v>271521.92000000004</v>
      </c>
      <c r="J83" s="29">
        <f>SUM(J73:J82)</f>
        <v>281273.51</v>
      </c>
      <c r="K83" s="30">
        <f t="shared" si="13"/>
        <v>-3.4669421944497965E-2</v>
      </c>
    </row>
    <row r="84" spans="1:11" ht="6.75" customHeight="1" x14ac:dyDescent="0.25">
      <c r="A84" s="52">
        <v>87</v>
      </c>
      <c r="G84" s="46"/>
    </row>
    <row r="85" spans="1:11" ht="8.25" customHeight="1" x14ac:dyDescent="0.25">
      <c r="A85" s="52">
        <v>129</v>
      </c>
      <c r="G85" s="46"/>
    </row>
    <row r="86" spans="1:11" ht="18.75" x14ac:dyDescent="0.25">
      <c r="A86" s="52">
        <v>130</v>
      </c>
      <c r="B86" s="10" t="s">
        <v>74</v>
      </c>
      <c r="G86" s="46"/>
    </row>
    <row r="87" spans="1:11" x14ac:dyDescent="0.25">
      <c r="A87" s="52">
        <v>131</v>
      </c>
      <c r="B87" s="4" t="s">
        <v>75</v>
      </c>
      <c r="G87" s="46"/>
    </row>
    <row r="88" spans="1:11" x14ac:dyDescent="0.25">
      <c r="A88" s="52">
        <v>132</v>
      </c>
      <c r="C88" s="1" t="s">
        <v>77</v>
      </c>
      <c r="E88" s="44">
        <f>+'New Year-Full Year'!H140</f>
        <v>17000</v>
      </c>
      <c r="F88" s="44">
        <f>+'New Year-Full Year'!I140</f>
        <v>17000</v>
      </c>
      <c r="G88" s="6">
        <f t="shared" ref="G88:G95" si="18">IF(F88=0,"NA",(+E88-F88)/F88)</f>
        <v>0</v>
      </c>
      <c r="I88" s="44">
        <f>+'New Year-Full Year'!M140</f>
        <v>15151.52</v>
      </c>
      <c r="J88" s="44">
        <f>+'New Year-Full Year'!N140</f>
        <v>15583.37</v>
      </c>
      <c r="K88" s="6">
        <f t="shared" ref="K88:K95" si="19">IF(J88=0,"NA",(+I88-J88)/J88)</f>
        <v>-2.7712234259983582E-2</v>
      </c>
    </row>
    <row r="89" spans="1:11" x14ac:dyDescent="0.25">
      <c r="A89" s="52">
        <v>133</v>
      </c>
      <c r="C89" s="1" t="s">
        <v>78</v>
      </c>
      <c r="E89" s="44">
        <f>+'New Year-Full Year'!H141</f>
        <v>16000</v>
      </c>
      <c r="F89" s="44">
        <f>+'New Year-Full Year'!I141</f>
        <v>16000</v>
      </c>
      <c r="G89" s="6">
        <f t="shared" si="18"/>
        <v>0</v>
      </c>
      <c r="I89" s="44">
        <f>+'New Year-Full Year'!M141</f>
        <v>8927.0499999999993</v>
      </c>
      <c r="J89" s="44">
        <f>+'New Year-Full Year'!N141</f>
        <v>14666.63</v>
      </c>
      <c r="K89" s="6">
        <f t="shared" si="19"/>
        <v>-0.39133597833994588</v>
      </c>
    </row>
    <row r="90" spans="1:11" x14ac:dyDescent="0.25">
      <c r="A90" s="52">
        <v>134</v>
      </c>
      <c r="C90" s="1" t="s">
        <v>79</v>
      </c>
      <c r="E90" s="44">
        <f>+'New Year-Full Year'!H142</f>
        <v>5976</v>
      </c>
      <c r="F90" s="44">
        <f>+'New Year-Full Year'!I142</f>
        <v>5976</v>
      </c>
      <c r="G90" s="6">
        <f t="shared" si="18"/>
        <v>0</v>
      </c>
      <c r="I90" s="44">
        <f>+'New Year-Full Year'!M142</f>
        <v>5549.44</v>
      </c>
      <c r="J90" s="44">
        <f>+'New Year-Full Year'!N142</f>
        <v>5478</v>
      </c>
      <c r="K90" s="6">
        <f t="shared" si="19"/>
        <v>1.3041255932822125E-2</v>
      </c>
    </row>
    <row r="91" spans="1:11" x14ac:dyDescent="0.25">
      <c r="A91" s="52">
        <v>135</v>
      </c>
      <c r="C91" s="1" t="s">
        <v>80</v>
      </c>
      <c r="E91" s="44">
        <f>+'New Year-Full Year'!H143</f>
        <v>800</v>
      </c>
      <c r="F91" s="44">
        <f>+'New Year-Full Year'!I143</f>
        <v>800</v>
      </c>
      <c r="G91" s="6">
        <f t="shared" si="18"/>
        <v>0</v>
      </c>
      <c r="I91" s="44">
        <f>+'New Year-Full Year'!M143</f>
        <v>857.63</v>
      </c>
      <c r="J91" s="44">
        <f>+'New Year-Full Year'!N143</f>
        <v>800</v>
      </c>
      <c r="K91" s="6">
        <f t="shared" si="19"/>
        <v>7.203749999999999E-2</v>
      </c>
    </row>
    <row r="92" spans="1:11" x14ac:dyDescent="0.25">
      <c r="A92" s="52">
        <v>136</v>
      </c>
      <c r="C92" s="1" t="s">
        <v>81</v>
      </c>
      <c r="E92" s="44">
        <f>+'New Year-Full Year'!H144</f>
        <v>3300</v>
      </c>
      <c r="F92" s="44">
        <f>+'New Year-Full Year'!I144</f>
        <v>3300</v>
      </c>
      <c r="G92" s="6">
        <f t="shared" si="18"/>
        <v>0</v>
      </c>
      <c r="I92" s="44">
        <f>+'New Year-Full Year'!M144</f>
        <v>2874.07</v>
      </c>
      <c r="J92" s="44">
        <f>+'New Year-Full Year'!N144</f>
        <v>3025</v>
      </c>
      <c r="K92" s="6">
        <f t="shared" si="19"/>
        <v>-4.9894214876033002E-2</v>
      </c>
    </row>
    <row r="93" spans="1:11" x14ac:dyDescent="0.25">
      <c r="A93" s="52">
        <v>137</v>
      </c>
      <c r="C93" s="1" t="s">
        <v>82</v>
      </c>
      <c r="E93" s="44">
        <f>+'New Year-Full Year'!H145</f>
        <v>3300</v>
      </c>
      <c r="F93" s="44">
        <f>+'New Year-Full Year'!I145</f>
        <v>2700</v>
      </c>
      <c r="G93" s="6">
        <f t="shared" si="18"/>
        <v>0.22222222222222221</v>
      </c>
      <c r="I93" s="44">
        <f>+'New Year-Full Year'!M145</f>
        <v>2376.9699999999998</v>
      </c>
      <c r="J93" s="44">
        <f>+'New Year-Full Year'!N145</f>
        <v>2475</v>
      </c>
      <c r="K93" s="6">
        <f t="shared" si="19"/>
        <v>-3.9608080808080891E-2</v>
      </c>
    </row>
    <row r="94" spans="1:11" x14ac:dyDescent="0.25">
      <c r="A94" s="52">
        <v>138</v>
      </c>
      <c r="C94" s="1" t="s">
        <v>159</v>
      </c>
      <c r="E94" s="44">
        <f>+'New Year-Full Year'!H146</f>
        <v>3900</v>
      </c>
      <c r="F94" s="44">
        <f>+'New Year-Full Year'!I146</f>
        <v>3900</v>
      </c>
      <c r="G94" s="6">
        <f t="shared" si="18"/>
        <v>0</v>
      </c>
      <c r="I94" s="44">
        <f>+'New Year-Full Year'!M146</f>
        <v>3954.67</v>
      </c>
      <c r="J94" s="44">
        <f>+'New Year-Full Year'!N146</f>
        <v>3900</v>
      </c>
      <c r="K94" s="6">
        <f t="shared" si="19"/>
        <v>1.4017948717948736E-2</v>
      </c>
    </row>
    <row r="95" spans="1:11" s="4" customFormat="1" x14ac:dyDescent="0.25">
      <c r="A95" s="52">
        <v>139</v>
      </c>
      <c r="B95" s="32" t="s">
        <v>83</v>
      </c>
      <c r="C95" s="32"/>
      <c r="D95" s="32"/>
      <c r="E95" s="32">
        <f>SUM(E88:E94)</f>
        <v>50276</v>
      </c>
      <c r="F95" s="32">
        <f>SUM(F88:F94)</f>
        <v>49676</v>
      </c>
      <c r="G95" s="33">
        <f t="shared" si="18"/>
        <v>1.2078267171269828E-2</v>
      </c>
      <c r="I95" s="32">
        <f>SUM(I88:I94)</f>
        <v>39691.35</v>
      </c>
      <c r="J95" s="32">
        <f>SUM(J88:J94)</f>
        <v>45928</v>
      </c>
      <c r="K95" s="33">
        <f t="shared" si="19"/>
        <v>-0.13579189165650588</v>
      </c>
    </row>
    <row r="96" spans="1:11" s="4" customFormat="1" ht="6.75" customHeight="1" x14ac:dyDescent="0.25">
      <c r="A96" s="52">
        <v>140</v>
      </c>
      <c r="B96" s="19"/>
      <c r="C96" s="19"/>
      <c r="D96" s="19"/>
      <c r="E96" s="19"/>
      <c r="F96" s="19"/>
      <c r="G96" s="22"/>
      <c r="I96" s="19"/>
      <c r="J96" s="19"/>
      <c r="K96" s="22"/>
    </row>
    <row r="97" spans="1:11" x14ac:dyDescent="0.25">
      <c r="A97" s="52">
        <v>141</v>
      </c>
      <c r="B97" s="4" t="s">
        <v>84</v>
      </c>
      <c r="G97" s="46"/>
    </row>
    <row r="98" spans="1:11" x14ac:dyDescent="0.25">
      <c r="A98" s="52">
        <v>142</v>
      </c>
      <c r="C98" s="1" t="s">
        <v>85</v>
      </c>
      <c r="E98" s="44">
        <f>+'New Year-Full Year'!H150</f>
        <v>14730</v>
      </c>
      <c r="F98" s="44">
        <f>+'New Year-Full Year'!I150</f>
        <v>14730</v>
      </c>
      <c r="G98" s="6">
        <f t="shared" ref="G98:G107" si="20">IF(F98=0,"NA",(+E98-F98)/F98)</f>
        <v>0</v>
      </c>
      <c r="I98" s="44">
        <f>+'New Year-Full Year'!M150</f>
        <v>14677.84</v>
      </c>
      <c r="J98" s="44">
        <f>+'New Year-Full Year'!N150</f>
        <v>14730</v>
      </c>
      <c r="K98" s="6">
        <f t="shared" ref="K98:K107" si="21">IF(J98=0,"NA",(+I98-J98)/J98)</f>
        <v>-3.5410726408689648E-3</v>
      </c>
    </row>
    <row r="99" spans="1:11" x14ac:dyDescent="0.25">
      <c r="A99" s="52">
        <v>143</v>
      </c>
      <c r="C99" s="1" t="s">
        <v>86</v>
      </c>
      <c r="E99" s="44">
        <f>+'New Year-Full Year'!H151</f>
        <v>5000</v>
      </c>
      <c r="F99" s="44">
        <f>+'New Year-Full Year'!I151</f>
        <v>5000</v>
      </c>
      <c r="G99" s="6">
        <f t="shared" si="20"/>
        <v>0</v>
      </c>
      <c r="I99" s="44">
        <f>+'New Year-Full Year'!M151</f>
        <v>3777.19</v>
      </c>
      <c r="J99" s="44">
        <f>+'New Year-Full Year'!N151</f>
        <v>4000</v>
      </c>
      <c r="K99" s="6">
        <f t="shared" si="21"/>
        <v>-5.5702499999999988E-2</v>
      </c>
    </row>
    <row r="100" spans="1:11" x14ac:dyDescent="0.25">
      <c r="A100" s="52">
        <v>144</v>
      </c>
      <c r="C100" s="1" t="s">
        <v>124</v>
      </c>
      <c r="E100" s="44">
        <f>+'New Year-Full Year'!H152</f>
        <v>2500</v>
      </c>
      <c r="F100" s="44">
        <f>+'New Year-Full Year'!I152</f>
        <v>2500</v>
      </c>
      <c r="G100" s="6">
        <f t="shared" si="20"/>
        <v>0</v>
      </c>
      <c r="I100" s="44">
        <f>+'New Year-Full Year'!M152</f>
        <v>3880.25</v>
      </c>
      <c r="J100" s="44">
        <f>+'New Year-Full Year'!N152</f>
        <v>2291.63</v>
      </c>
      <c r="K100" s="6">
        <f t="shared" si="21"/>
        <v>0.69322709163346607</v>
      </c>
    </row>
    <row r="101" spans="1:11" x14ac:dyDescent="0.25">
      <c r="A101" s="52">
        <v>145</v>
      </c>
      <c r="C101" s="89" t="s">
        <v>149</v>
      </c>
      <c r="D101" s="89"/>
      <c r="E101" s="44">
        <f>+'New Year-Full Year'!H153</f>
        <v>4300</v>
      </c>
      <c r="F101" s="44">
        <f>+'New Year-Full Year'!I153</f>
        <v>4300</v>
      </c>
      <c r="G101" s="6">
        <f t="shared" si="20"/>
        <v>0</v>
      </c>
      <c r="I101" s="44">
        <f>+'New Year-Full Year'!M153</f>
        <v>3858.43</v>
      </c>
      <c r="J101" s="44">
        <f>+'New Year-Full Year'!N153</f>
        <v>3941.63</v>
      </c>
      <c r="K101" s="6">
        <f t="shared" si="21"/>
        <v>-2.1108018763810979E-2</v>
      </c>
    </row>
    <row r="102" spans="1:11" x14ac:dyDescent="0.25">
      <c r="A102" s="52">
        <v>146</v>
      </c>
      <c r="C102" s="1" t="s">
        <v>87</v>
      </c>
      <c r="E102" s="44">
        <f>+'New Year-Full Year'!H154</f>
        <v>6000</v>
      </c>
      <c r="F102" s="44">
        <f>+'New Year-Full Year'!I154</f>
        <v>6000</v>
      </c>
      <c r="G102" s="6">
        <f t="shared" si="20"/>
        <v>0</v>
      </c>
      <c r="I102" s="44">
        <f>+'New Year-Full Year'!M154</f>
        <v>5788</v>
      </c>
      <c r="J102" s="44">
        <f>+'New Year-Full Year'!N154</f>
        <v>5500</v>
      </c>
      <c r="K102" s="6">
        <f t="shared" si="21"/>
        <v>5.2363636363636362E-2</v>
      </c>
    </row>
    <row r="103" spans="1:11" ht="15" hidden="1" customHeight="1" x14ac:dyDescent="0.25">
      <c r="A103" s="52">
        <v>147</v>
      </c>
      <c r="C103" s="1" t="s">
        <v>88</v>
      </c>
      <c r="E103" s="44">
        <f>+'New Year-Full Year'!H155</f>
        <v>0</v>
      </c>
      <c r="F103" s="44">
        <f>+'New Year-Full Year'!I155</f>
        <v>0</v>
      </c>
      <c r="G103" s="6" t="str">
        <f t="shared" si="20"/>
        <v>NA</v>
      </c>
      <c r="I103" s="44">
        <f>+'New Year-Full Year'!M155</f>
        <v>0</v>
      </c>
      <c r="J103" s="44">
        <f>+'New Year-Full Year'!N155</f>
        <v>0</v>
      </c>
      <c r="K103" s="6" t="str">
        <f t="shared" si="21"/>
        <v>NA</v>
      </c>
    </row>
    <row r="104" spans="1:11" x14ac:dyDescent="0.25">
      <c r="A104" s="52">
        <v>148</v>
      </c>
      <c r="C104" s="1" t="s">
        <v>90</v>
      </c>
      <c r="E104" s="44">
        <f>+'New Year-Full Year'!H156</f>
        <v>0</v>
      </c>
      <c r="F104" s="44">
        <f>+'New Year-Full Year'!I156</f>
        <v>54900</v>
      </c>
      <c r="G104" s="6">
        <f t="shared" si="20"/>
        <v>-1</v>
      </c>
      <c r="I104" s="44">
        <f>+'New Year-Full Year'!M156</f>
        <v>54876</v>
      </c>
      <c r="J104" s="44">
        <f>+'New Year-Full Year'!N156</f>
        <v>50325</v>
      </c>
      <c r="K104" s="6">
        <f t="shared" si="21"/>
        <v>9.0432190760059608E-2</v>
      </c>
    </row>
    <row r="105" spans="1:11" x14ac:dyDescent="0.25">
      <c r="A105" s="52">
        <v>149</v>
      </c>
      <c r="C105" s="1" t="s">
        <v>89</v>
      </c>
      <c r="E105" s="44">
        <f>+'New Year-Full Year'!H157</f>
        <v>1650</v>
      </c>
      <c r="F105" s="44">
        <f>+'New Year-Full Year'!I157</f>
        <v>1650</v>
      </c>
      <c r="G105" s="6">
        <f t="shared" si="20"/>
        <v>0</v>
      </c>
      <c r="I105" s="44">
        <f>+'New Year-Full Year'!M157</f>
        <v>719.58</v>
      </c>
      <c r="J105" s="44">
        <f>+'New Year-Full Year'!N157</f>
        <v>1512.5</v>
      </c>
      <c r="K105" s="6">
        <f t="shared" si="21"/>
        <v>-0.52424462809917349</v>
      </c>
    </row>
    <row r="106" spans="1:11" s="4" customFormat="1" x14ac:dyDescent="0.25">
      <c r="A106" s="52">
        <v>150</v>
      </c>
      <c r="B106" s="32" t="s">
        <v>91</v>
      </c>
      <c r="C106" s="32"/>
      <c r="D106" s="32"/>
      <c r="E106" s="32">
        <f>SUM(E98:E105)</f>
        <v>34180</v>
      </c>
      <c r="F106" s="32">
        <f>SUM(F98:F105)</f>
        <v>89080</v>
      </c>
      <c r="G106" s="33">
        <f t="shared" si="20"/>
        <v>-0.61629995509654245</v>
      </c>
      <c r="I106" s="32">
        <f>SUM(I98:I105)</f>
        <v>87577.29</v>
      </c>
      <c r="J106" s="32">
        <f>SUM(J98:J105)</f>
        <v>82300.760000000009</v>
      </c>
      <c r="K106" s="33">
        <f t="shared" si="21"/>
        <v>6.4112773685200283E-2</v>
      </c>
    </row>
    <row r="107" spans="1:11" x14ac:dyDescent="0.25">
      <c r="A107" s="52">
        <v>151</v>
      </c>
      <c r="B107" s="32" t="s">
        <v>92</v>
      </c>
      <c r="C107" s="32"/>
      <c r="D107" s="32"/>
      <c r="E107" s="32">
        <f>+E95+E106</f>
        <v>84456</v>
      </c>
      <c r="F107" s="32">
        <f>+F95+F106</f>
        <v>138756</v>
      </c>
      <c r="G107" s="33">
        <f t="shared" si="20"/>
        <v>-0.39133442878145808</v>
      </c>
      <c r="I107" s="32">
        <f>+I95+I106</f>
        <v>127268.63999999998</v>
      </c>
      <c r="J107" s="32">
        <f>+J95+J106</f>
        <v>128228.76000000001</v>
      </c>
      <c r="K107" s="33">
        <f t="shared" si="21"/>
        <v>-7.4875558338084562E-3</v>
      </c>
    </row>
    <row r="108" spans="1:11" ht="4.5" customHeight="1" x14ac:dyDescent="0.25">
      <c r="A108" s="52">
        <v>152</v>
      </c>
      <c r="G108" s="46"/>
    </row>
    <row r="109" spans="1:11" ht="18.75" x14ac:dyDescent="0.25">
      <c r="A109" s="52">
        <v>153</v>
      </c>
      <c r="B109" s="10" t="s">
        <v>93</v>
      </c>
      <c r="G109" s="46"/>
    </row>
    <row r="110" spans="1:11" x14ac:dyDescent="0.25">
      <c r="A110" s="52">
        <v>154</v>
      </c>
      <c r="B110" s="4" t="s">
        <v>94</v>
      </c>
      <c r="G110" s="46"/>
    </row>
    <row r="111" spans="1:11" x14ac:dyDescent="0.25">
      <c r="A111" s="52">
        <v>155</v>
      </c>
      <c r="C111" s="1" t="s">
        <v>95</v>
      </c>
      <c r="E111" s="44">
        <f>+'New Year-Full Year'!H163</f>
        <v>0</v>
      </c>
      <c r="F111" s="44">
        <f>+'New Year-Full Year'!I163</f>
        <v>0</v>
      </c>
      <c r="G111" s="6" t="str">
        <f t="shared" ref="G111:G115" si="22">IF(F111=0,"NA",(+E111-F111)/F111)</f>
        <v>NA</v>
      </c>
      <c r="I111" s="44">
        <f>+'New Year-Full Year'!M163</f>
        <v>0</v>
      </c>
      <c r="J111" s="44">
        <f>+'New Year-Full Year'!N163</f>
        <v>0</v>
      </c>
      <c r="K111" s="6" t="str">
        <f>IF(J111=0,"NA",(+I111-J111)/J111)</f>
        <v>NA</v>
      </c>
    </row>
    <row r="112" spans="1:11" x14ac:dyDescent="0.25">
      <c r="A112" s="52">
        <v>156</v>
      </c>
      <c r="C112" s="1" t="s">
        <v>96</v>
      </c>
      <c r="E112" s="44">
        <f>+'New Year-Full Year'!H164</f>
        <v>5203</v>
      </c>
      <c r="F112" s="44">
        <f>+'New Year-Full Year'!I164</f>
        <v>0</v>
      </c>
      <c r="G112" s="6" t="str">
        <f t="shared" si="22"/>
        <v>NA</v>
      </c>
      <c r="I112" s="44">
        <f>+'New Year-Full Year'!M164</f>
        <v>0</v>
      </c>
      <c r="J112" s="44">
        <f>+'New Year-Full Year'!N164</f>
        <v>0</v>
      </c>
      <c r="K112" s="6" t="str">
        <f>IF(J112=0,"NA",(+I112-J112)/J112)</f>
        <v>NA</v>
      </c>
    </row>
    <row r="113" spans="1:11" x14ac:dyDescent="0.25">
      <c r="A113" s="52">
        <v>157</v>
      </c>
      <c r="C113" s="1" t="s">
        <v>97</v>
      </c>
      <c r="E113" s="44">
        <f>+'New Year-Full Year'!H165</f>
        <v>0</v>
      </c>
      <c r="F113" s="44">
        <f>+'New Year-Full Year'!I165</f>
        <v>0</v>
      </c>
      <c r="G113" s="6" t="str">
        <f t="shared" si="22"/>
        <v>NA</v>
      </c>
      <c r="I113" s="44">
        <f>+'New Year-Full Year'!M165</f>
        <v>2.12</v>
      </c>
      <c r="J113" s="44">
        <f>+'New Year-Full Year'!N165</f>
        <v>0</v>
      </c>
      <c r="K113" s="6" t="str">
        <f>IF(J113=0,"NA",(+I113-J113)/J113)</f>
        <v>NA</v>
      </c>
    </row>
    <row r="114" spans="1:11" x14ac:dyDescent="0.25">
      <c r="A114" s="52">
        <v>158</v>
      </c>
      <c r="C114" s="1" t="s">
        <v>98</v>
      </c>
      <c r="E114" s="44">
        <f>+'New Year-Full Year'!H166</f>
        <v>16980</v>
      </c>
      <c r="F114" s="44">
        <f>+'New Year-Full Year'!I166</f>
        <v>3389</v>
      </c>
      <c r="G114" s="6">
        <f t="shared" si="22"/>
        <v>4.0103275302449104</v>
      </c>
      <c r="I114" s="44">
        <f>+'New Year-Full Year'!M166</f>
        <v>0</v>
      </c>
      <c r="J114" s="44">
        <f>+'New Year-Full Year'!N166</f>
        <v>1694.5</v>
      </c>
      <c r="K114" s="6">
        <f>IF(J114=0,"NA",(+I114-J114)/J114)</f>
        <v>-1</v>
      </c>
    </row>
    <row r="115" spans="1:11" s="4" customFormat="1" x14ac:dyDescent="0.25">
      <c r="A115" s="52">
        <v>159</v>
      </c>
      <c r="B115" s="34" t="s">
        <v>99</v>
      </c>
      <c r="C115" s="34"/>
      <c r="D115" s="34"/>
      <c r="E115" s="34">
        <f>SUM(E111:E114)</f>
        <v>22183</v>
      </c>
      <c r="F115" s="34">
        <f>SUM(F111:F114)</f>
        <v>3389</v>
      </c>
      <c r="G115" s="35">
        <f t="shared" si="22"/>
        <v>5.5455886692239602</v>
      </c>
      <c r="I115" s="34">
        <f>SUM(I111:I114)</f>
        <v>2.12</v>
      </c>
      <c r="J115" s="34">
        <f>SUM(J111:J114)</f>
        <v>1694.5</v>
      </c>
      <c r="K115" s="35">
        <f>IF(J115=0,"NA",(+I115-J115)/J115)</f>
        <v>-0.99874889347890239</v>
      </c>
    </row>
    <row r="116" spans="1:11" ht="7.5" customHeight="1" x14ac:dyDescent="0.25">
      <c r="A116" s="52">
        <v>160</v>
      </c>
      <c r="G116" s="46"/>
    </row>
    <row r="117" spans="1:11" x14ac:dyDescent="0.25">
      <c r="A117" s="52">
        <v>161</v>
      </c>
      <c r="B117" s="36" t="s">
        <v>100</v>
      </c>
      <c r="C117" s="37"/>
      <c r="D117" s="37"/>
      <c r="E117" s="36">
        <f>+E70+E107+E115+E24+E83</f>
        <v>555637.04</v>
      </c>
      <c r="F117" s="36">
        <f>+F70+F107+F115+F24+F83</f>
        <v>555637</v>
      </c>
      <c r="G117" s="38">
        <f t="shared" ref="G117" si="23">IF(F117=0,"NA",(+E117-F117)/F117)</f>
        <v>7.1989446414210904E-8</v>
      </c>
      <c r="I117" s="36">
        <f>+I70+I107+I115+I24+I83</f>
        <v>493489.28</v>
      </c>
      <c r="J117" s="36">
        <f>+J70+J107+J115+J24+J83</f>
        <v>506463.88</v>
      </c>
      <c r="K117" s="38">
        <f>IF(J117=0,"NA",(+I117-J117)/J117)</f>
        <v>-2.561801643189239E-2</v>
      </c>
    </row>
    <row r="118" spans="1:11" x14ac:dyDescent="0.25">
      <c r="A118" s="52">
        <v>162</v>
      </c>
      <c r="B118" s="36" t="s">
        <v>101</v>
      </c>
      <c r="C118" s="37"/>
      <c r="D118" s="37"/>
      <c r="E118" s="36">
        <f>ROUND(+E21-E117,0)</f>
        <v>0</v>
      </c>
      <c r="F118" s="36">
        <f>ROUND(+F21-F117,0)</f>
        <v>0</v>
      </c>
      <c r="G118" s="60"/>
      <c r="I118" s="36">
        <f>ROUND(+I21-I117,0)</f>
        <v>-6760</v>
      </c>
      <c r="J118" s="36">
        <f>ROUND(+J21-J117,0)</f>
        <v>5409</v>
      </c>
      <c r="K118" s="38">
        <f>IF(J118=0,"NA",(+I118-J118)/J118)</f>
        <v>-2.2497689036790534</v>
      </c>
    </row>
    <row r="119" spans="1:11" x14ac:dyDescent="0.25">
      <c r="G119" s="46"/>
    </row>
    <row r="120" spans="1:11" x14ac:dyDescent="0.25">
      <c r="C120" s="1" t="s">
        <v>264</v>
      </c>
      <c r="G120" s="46"/>
    </row>
    <row r="121" spans="1:11" x14ac:dyDescent="0.25">
      <c r="G121" s="46"/>
    </row>
    <row r="122" spans="1:11" ht="30" customHeight="1" x14ac:dyDescent="0.25">
      <c r="C122" s="89" t="s">
        <v>265</v>
      </c>
      <c r="D122" s="89"/>
      <c r="E122" s="89"/>
      <c r="F122" s="89"/>
      <c r="G122" s="89"/>
      <c r="H122" s="89"/>
      <c r="I122" s="89"/>
      <c r="J122" s="89"/>
      <c r="K122" s="89"/>
    </row>
    <row r="123" spans="1:11" x14ac:dyDescent="0.25">
      <c r="D123" s="89"/>
      <c r="E123" s="89"/>
      <c r="G123" s="46"/>
    </row>
    <row r="124" spans="1:11" x14ac:dyDescent="0.25">
      <c r="G124" s="46"/>
    </row>
    <row r="125" spans="1:11" x14ac:dyDescent="0.25">
      <c r="G125" s="46"/>
    </row>
    <row r="126" spans="1:11" x14ac:dyDescent="0.25">
      <c r="G126" s="46"/>
    </row>
    <row r="127" spans="1:11" x14ac:dyDescent="0.25">
      <c r="A127" s="1"/>
      <c r="B127" s="1"/>
      <c r="G127" s="46"/>
      <c r="K127" s="1"/>
    </row>
    <row r="128" spans="1:11" x14ac:dyDescent="0.25">
      <c r="A128" s="1"/>
      <c r="B128" s="1"/>
      <c r="G128" s="46"/>
      <c r="K128" s="1"/>
    </row>
    <row r="129" spans="1:11" x14ac:dyDescent="0.25">
      <c r="A129" s="1"/>
      <c r="B129" s="1"/>
      <c r="G129" s="46"/>
      <c r="K129" s="1"/>
    </row>
    <row r="130" spans="1:11" x14ac:dyDescent="0.25">
      <c r="A130" s="1"/>
      <c r="B130" s="1"/>
      <c r="G130" s="46"/>
      <c r="K130" s="1"/>
    </row>
    <row r="131" spans="1:11" x14ac:dyDescent="0.25">
      <c r="A131" s="1"/>
      <c r="B131" s="1"/>
      <c r="G131" s="46"/>
      <c r="K131" s="1"/>
    </row>
    <row r="132" spans="1:11" x14ac:dyDescent="0.25">
      <c r="A132" s="1"/>
      <c r="B132" s="1"/>
      <c r="G132" s="46"/>
      <c r="K132" s="1"/>
    </row>
    <row r="133" spans="1:11" x14ac:dyDescent="0.25">
      <c r="A133" s="1"/>
      <c r="B133" s="1"/>
      <c r="G133" s="46"/>
      <c r="K133" s="1"/>
    </row>
    <row r="134" spans="1:11" x14ac:dyDescent="0.25">
      <c r="A134" s="1"/>
      <c r="B134" s="1"/>
      <c r="G134" s="46"/>
      <c r="K134" s="1"/>
    </row>
    <row r="135" spans="1:11" x14ac:dyDescent="0.25">
      <c r="A135" s="1"/>
      <c r="B135" s="1"/>
      <c r="G135" s="46"/>
      <c r="K135" s="1"/>
    </row>
    <row r="136" spans="1:11" x14ac:dyDescent="0.25">
      <c r="A136" s="1"/>
      <c r="B136" s="1"/>
      <c r="G136" s="46"/>
      <c r="K136" s="1"/>
    </row>
    <row r="137" spans="1:11" x14ac:dyDescent="0.25">
      <c r="A137" s="1"/>
      <c r="B137" s="1"/>
      <c r="G137" s="46"/>
      <c r="K137" s="1"/>
    </row>
    <row r="138" spans="1:11" x14ac:dyDescent="0.25">
      <c r="A138" s="1"/>
      <c r="B138" s="1"/>
      <c r="G138" s="46"/>
      <c r="K138" s="1"/>
    </row>
    <row r="139" spans="1:11" x14ac:dyDescent="0.25">
      <c r="A139" s="1"/>
      <c r="B139" s="1"/>
      <c r="G139" s="46"/>
      <c r="K139" s="1"/>
    </row>
    <row r="140" spans="1:11" x14ac:dyDescent="0.25">
      <c r="A140" s="1"/>
      <c r="B140" s="1"/>
      <c r="G140" s="46"/>
      <c r="K140" s="1"/>
    </row>
  </sheetData>
  <mergeCells count="14">
    <mergeCell ref="D123:E123"/>
    <mergeCell ref="C122:K122"/>
    <mergeCell ref="C78:D78"/>
    <mergeCell ref="C79:D79"/>
    <mergeCell ref="B1:K1"/>
    <mergeCell ref="B2:K2"/>
    <mergeCell ref="I3:K3"/>
    <mergeCell ref="C101:D101"/>
    <mergeCell ref="E3:G3"/>
    <mergeCell ref="C73:D73"/>
    <mergeCell ref="C74:D74"/>
    <mergeCell ref="C75:D75"/>
    <mergeCell ref="C76:D76"/>
    <mergeCell ref="C77:D77"/>
  </mergeCells>
  <pageMargins left="0" right="0" top="0" bottom="0.75" header="0.3" footer="0.05"/>
  <pageSetup scale="92" fitToHeight="0" orientation="portrait" r:id="rId1"/>
  <headerFooter>
    <oddFooter>&amp;C&amp;P of &amp;N&amp;R&amp;D</oddFooter>
  </headerFooter>
  <rowBreaks count="2" manualBreakCount="2">
    <brk id="52" max="16383" man="1"/>
    <brk id="96" max="16383" man="1"/>
  </rowBreaks>
  <colBreaks count="1" manualBreakCount="1">
    <brk id="1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21"/>
  <sheetViews>
    <sheetView showGridLines="0" topLeftCell="B1" zoomScaleNormal="100" workbookViewId="0">
      <selection activeCell="F5" sqref="F5"/>
    </sheetView>
  </sheetViews>
  <sheetFormatPr defaultRowHeight="15" x14ac:dyDescent="0.25"/>
  <cols>
    <col min="1" max="1" width="4.42578125" style="52" hidden="1" customWidth="1"/>
    <col min="2" max="2" width="4.28515625" style="4" customWidth="1"/>
    <col min="3" max="3" width="9.140625" style="1"/>
    <col min="4" max="4" width="24.7109375" style="1" customWidth="1"/>
    <col min="5" max="5" width="8.85546875" style="1" customWidth="1"/>
    <col min="6" max="6" width="19.28515625" style="1" customWidth="1"/>
    <col min="7" max="7" width="10.5703125" style="1" customWidth="1"/>
    <col min="8" max="10" width="12.140625" style="1" customWidth="1"/>
    <col min="11" max="11" width="12.5703125" style="1" customWidth="1"/>
    <col min="12" max="12" width="4.5703125" style="1" customWidth="1"/>
    <col min="13" max="13" width="12.5703125" style="1" bestFit="1" customWidth="1"/>
    <col min="14" max="14" width="11.7109375" style="1" customWidth="1"/>
    <col min="15" max="15" width="10" style="7" bestFit="1" customWidth="1"/>
    <col min="16" max="16" width="67.7109375" style="8" customWidth="1"/>
    <col min="17" max="17" width="67.7109375" style="42" customWidth="1"/>
    <col min="18" max="18" width="9.5703125" style="1" bestFit="1" customWidth="1"/>
    <col min="19" max="16384" width="9.140625" style="1"/>
  </cols>
  <sheetData>
    <row r="1" spans="1:17" ht="41.25" customHeight="1" x14ac:dyDescent="0.25">
      <c r="B1" s="90" t="s">
        <v>105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1"/>
    </row>
    <row r="2" spans="1:17" ht="23.25" customHeight="1" x14ac:dyDescent="0.25">
      <c r="H2" s="95" t="s">
        <v>104</v>
      </c>
      <c r="I2" s="96"/>
      <c r="J2" s="96"/>
      <c r="K2" s="97"/>
      <c r="M2" s="98" t="s">
        <v>163</v>
      </c>
      <c r="N2" s="99"/>
      <c r="O2" s="100"/>
      <c r="P2" s="42"/>
    </row>
    <row r="3" spans="1:17" ht="23.25" customHeight="1" x14ac:dyDescent="0.25">
      <c r="H3" s="105" t="s">
        <v>162</v>
      </c>
      <c r="I3" s="107" t="s">
        <v>127</v>
      </c>
      <c r="J3" s="102" t="s">
        <v>261</v>
      </c>
      <c r="K3" s="103"/>
      <c r="L3" s="104"/>
      <c r="M3" s="105" t="s">
        <v>253</v>
      </c>
      <c r="N3" s="107" t="s">
        <v>254</v>
      </c>
      <c r="O3" s="109" t="s">
        <v>103</v>
      </c>
    </row>
    <row r="4" spans="1:17" s="4" customFormat="1" x14ac:dyDescent="0.25">
      <c r="A4" s="53"/>
      <c r="H4" s="106"/>
      <c r="I4" s="108"/>
      <c r="J4" s="84" t="s">
        <v>262</v>
      </c>
      <c r="K4" s="111" t="s">
        <v>263</v>
      </c>
      <c r="M4" s="106"/>
      <c r="N4" s="108"/>
      <c r="O4" s="110"/>
      <c r="P4" s="9" t="s">
        <v>173</v>
      </c>
      <c r="Q4" s="9" t="s">
        <v>174</v>
      </c>
    </row>
    <row r="5" spans="1:17" s="4" customFormat="1" ht="18.75" x14ac:dyDescent="0.25">
      <c r="A5" s="53"/>
      <c r="B5" s="10" t="s">
        <v>0</v>
      </c>
      <c r="H5" s="11"/>
      <c r="I5" s="12"/>
      <c r="J5" s="47"/>
      <c r="K5" s="12"/>
      <c r="M5" s="12"/>
      <c r="N5" s="12"/>
      <c r="O5" s="12"/>
      <c r="P5" s="13"/>
      <c r="Q5" s="79"/>
    </row>
    <row r="6" spans="1:17" x14ac:dyDescent="0.25">
      <c r="A6" s="52">
        <v>1</v>
      </c>
      <c r="B6" s="4" t="s">
        <v>1</v>
      </c>
      <c r="Q6" s="78"/>
    </row>
    <row r="7" spans="1:17" x14ac:dyDescent="0.25">
      <c r="A7" s="52">
        <v>2</v>
      </c>
      <c r="C7" s="1" t="s">
        <v>1</v>
      </c>
      <c r="H7" s="5">
        <f>(+I7*1)</f>
        <v>536136.74</v>
      </c>
      <c r="I7" s="44">
        <v>536136.74</v>
      </c>
      <c r="J7" s="44">
        <f>+H7-I7</f>
        <v>0</v>
      </c>
      <c r="K7" s="6">
        <f>IF(I7=0,"NA",(+H7-I7)/I7)</f>
        <v>0</v>
      </c>
      <c r="M7" s="5">
        <v>469073.9</v>
      </c>
      <c r="N7" s="5">
        <v>497998.16</v>
      </c>
      <c r="O7" s="6">
        <f t="shared" ref="O7:O12" si="0">IF(N7=0,"NA",(+M7-N7)/N7)</f>
        <v>-5.8081057970173933E-2</v>
      </c>
      <c r="P7" s="78" t="s">
        <v>210</v>
      </c>
      <c r="Q7" s="78" t="s">
        <v>176</v>
      </c>
    </row>
    <row r="8" spans="1:17" x14ac:dyDescent="0.25">
      <c r="A8" s="52">
        <v>4</v>
      </c>
      <c r="C8" s="1" t="s">
        <v>2</v>
      </c>
      <c r="H8" s="5">
        <f t="shared" ref="H8:H11" si="1">+I8</f>
        <v>4000</v>
      </c>
      <c r="I8" s="44">
        <v>4000</v>
      </c>
      <c r="J8" s="44">
        <f t="shared" ref="J8:J11" si="2">+H8-I8</f>
        <v>0</v>
      </c>
      <c r="K8" s="6">
        <f t="shared" ref="K8:K12" si="3">IF(I8=0,"NA",(+H8-I8)/I8)</f>
        <v>0</v>
      </c>
      <c r="M8" s="5">
        <v>4393</v>
      </c>
      <c r="N8" s="5">
        <v>4000</v>
      </c>
      <c r="O8" s="6">
        <f t="shared" si="0"/>
        <v>9.8250000000000004E-2</v>
      </c>
      <c r="P8" s="78" t="s">
        <v>164</v>
      </c>
      <c r="Q8" s="78" t="s">
        <v>175</v>
      </c>
    </row>
    <row r="9" spans="1:17" x14ac:dyDescent="0.25">
      <c r="A9" s="52">
        <v>5</v>
      </c>
      <c r="C9" s="1" t="s">
        <v>3</v>
      </c>
      <c r="H9" s="5">
        <f t="shared" si="1"/>
        <v>1000</v>
      </c>
      <c r="I9" s="44">
        <v>1000</v>
      </c>
      <c r="J9" s="44">
        <f t="shared" si="2"/>
        <v>0</v>
      </c>
      <c r="K9" s="6">
        <f t="shared" si="3"/>
        <v>0</v>
      </c>
      <c r="M9" s="5">
        <v>449</v>
      </c>
      <c r="N9" s="5">
        <v>1000</v>
      </c>
      <c r="O9" s="6">
        <f t="shared" si="0"/>
        <v>-0.55100000000000005</v>
      </c>
      <c r="P9" s="78" t="s">
        <v>164</v>
      </c>
      <c r="Q9" s="78" t="s">
        <v>175</v>
      </c>
    </row>
    <row r="10" spans="1:17" x14ac:dyDescent="0.25">
      <c r="A10" s="52">
        <v>6</v>
      </c>
      <c r="C10" s="1" t="s">
        <v>4</v>
      </c>
      <c r="H10" s="5">
        <f t="shared" si="1"/>
        <v>5000</v>
      </c>
      <c r="I10" s="44">
        <v>5000</v>
      </c>
      <c r="J10" s="44">
        <f t="shared" si="2"/>
        <v>0</v>
      </c>
      <c r="K10" s="6">
        <f t="shared" si="3"/>
        <v>0</v>
      </c>
      <c r="M10" s="5">
        <v>0</v>
      </c>
      <c r="N10" s="5">
        <v>0</v>
      </c>
      <c r="O10" s="6" t="str">
        <f t="shared" si="0"/>
        <v>NA</v>
      </c>
      <c r="P10" s="78" t="s">
        <v>164</v>
      </c>
      <c r="Q10" s="78" t="s">
        <v>175</v>
      </c>
    </row>
    <row r="11" spans="1:17" x14ac:dyDescent="0.25">
      <c r="A11" s="52">
        <v>7</v>
      </c>
      <c r="C11" s="1" t="s">
        <v>5</v>
      </c>
      <c r="H11" s="5">
        <f t="shared" si="1"/>
        <v>2000</v>
      </c>
      <c r="I11" s="44">
        <v>2000</v>
      </c>
      <c r="J11" s="44">
        <f t="shared" si="2"/>
        <v>0</v>
      </c>
      <c r="K11" s="6">
        <f t="shared" si="3"/>
        <v>0</v>
      </c>
      <c r="M11" s="5">
        <v>2423</v>
      </c>
      <c r="N11" s="5">
        <v>2000</v>
      </c>
      <c r="O11" s="6">
        <f t="shared" si="0"/>
        <v>0.21149999999999999</v>
      </c>
      <c r="P11" s="78" t="s">
        <v>164</v>
      </c>
      <c r="Q11" s="78" t="s">
        <v>175</v>
      </c>
    </row>
    <row r="12" spans="1:17" x14ac:dyDescent="0.25">
      <c r="A12" s="52">
        <v>8</v>
      </c>
      <c r="B12" s="14" t="s">
        <v>6</v>
      </c>
      <c r="C12" s="14"/>
      <c r="D12" s="14"/>
      <c r="E12" s="14"/>
      <c r="F12" s="14"/>
      <c r="G12" s="14"/>
      <c r="H12" s="14">
        <f>SUM(H7:H11)</f>
        <v>548136.74</v>
      </c>
      <c r="I12" s="14">
        <v>548136.74</v>
      </c>
      <c r="J12" s="14">
        <f>SUM(J7:J11)</f>
        <v>0</v>
      </c>
      <c r="K12" s="15">
        <f t="shared" si="3"/>
        <v>0</v>
      </c>
      <c r="M12" s="14">
        <f>SUM(M7:M11)</f>
        <v>476338.9</v>
      </c>
      <c r="N12" s="14">
        <f>SUM(N7:N11)</f>
        <v>504998.16</v>
      </c>
      <c r="O12" s="15">
        <f t="shared" si="0"/>
        <v>-5.6751216677700278E-2</v>
      </c>
      <c r="P12" s="73"/>
      <c r="Q12" s="78"/>
    </row>
    <row r="13" spans="1:17" ht="5.25" customHeight="1" x14ac:dyDescent="0.25">
      <c r="A13" s="52">
        <v>9</v>
      </c>
      <c r="K13" s="7"/>
      <c r="P13" s="73"/>
      <c r="Q13" s="78"/>
    </row>
    <row r="14" spans="1:17" x14ac:dyDescent="0.25">
      <c r="A14" s="52">
        <v>10</v>
      </c>
      <c r="B14" s="4" t="s">
        <v>7</v>
      </c>
      <c r="K14" s="7"/>
      <c r="P14" s="73"/>
      <c r="Q14" s="78"/>
    </row>
    <row r="15" spans="1:17" x14ac:dyDescent="0.25">
      <c r="A15" s="52">
        <v>11</v>
      </c>
      <c r="C15" s="1" t="s">
        <v>8</v>
      </c>
      <c r="H15" s="5">
        <f>+I15</f>
        <v>7500</v>
      </c>
      <c r="I15" s="44">
        <v>7500</v>
      </c>
      <c r="J15" s="44">
        <f t="shared" ref="J15:J19" si="4">+H15-I15</f>
        <v>0</v>
      </c>
      <c r="K15" s="6">
        <f t="shared" ref="K15:K21" si="5">IF(I15=0,"NA",(+H15-I15)/I15)</f>
        <v>0</v>
      </c>
      <c r="M15" s="5">
        <v>6025.63</v>
      </c>
      <c r="N15" s="5">
        <v>6875</v>
      </c>
      <c r="O15" s="6">
        <f t="shared" ref="O15:O21" si="6">IF(N15=0,"NA",(+M15-N15)/N15)</f>
        <v>-0.12354472727272725</v>
      </c>
      <c r="P15" s="78" t="s">
        <v>164</v>
      </c>
      <c r="Q15" s="78" t="s">
        <v>175</v>
      </c>
    </row>
    <row r="16" spans="1:17" x14ac:dyDescent="0.25">
      <c r="A16" s="52">
        <v>12</v>
      </c>
      <c r="C16" s="1" t="s">
        <v>7</v>
      </c>
      <c r="H16" s="5">
        <f t="shared" ref="H16:H19" si="7">+I16</f>
        <v>0</v>
      </c>
      <c r="I16" s="44">
        <v>0</v>
      </c>
      <c r="J16" s="44">
        <f t="shared" si="4"/>
        <v>0</v>
      </c>
      <c r="K16" s="6" t="str">
        <f t="shared" si="5"/>
        <v>NA</v>
      </c>
      <c r="M16" s="5">
        <v>3401.59</v>
      </c>
      <c r="N16" s="5">
        <v>0</v>
      </c>
      <c r="O16" s="6" t="str">
        <f t="shared" si="6"/>
        <v>NA</v>
      </c>
      <c r="P16" s="73"/>
      <c r="Q16" s="78"/>
    </row>
    <row r="17" spans="1:17" x14ac:dyDescent="0.25">
      <c r="A17" s="52">
        <v>13</v>
      </c>
      <c r="C17" s="1" t="s">
        <v>9</v>
      </c>
      <c r="H17" s="5">
        <f t="shared" si="7"/>
        <v>0</v>
      </c>
      <c r="I17" s="44">
        <v>0</v>
      </c>
      <c r="J17" s="44">
        <f t="shared" si="4"/>
        <v>0</v>
      </c>
      <c r="K17" s="6" t="str">
        <f t="shared" si="5"/>
        <v>NA</v>
      </c>
      <c r="M17" s="5">
        <v>0</v>
      </c>
      <c r="N17" s="5">
        <v>0</v>
      </c>
      <c r="O17" s="6" t="str">
        <f t="shared" si="6"/>
        <v>NA</v>
      </c>
      <c r="P17" s="73"/>
      <c r="Q17" s="78"/>
    </row>
    <row r="18" spans="1:17" x14ac:dyDescent="0.25">
      <c r="A18" s="52">
        <v>14</v>
      </c>
      <c r="C18" s="1" t="s">
        <v>11</v>
      </c>
      <c r="H18" s="5">
        <f t="shared" si="7"/>
        <v>0</v>
      </c>
      <c r="I18" s="44">
        <v>0</v>
      </c>
      <c r="J18" s="44">
        <f t="shared" si="4"/>
        <v>0</v>
      </c>
      <c r="K18" s="6" t="str">
        <f t="shared" si="5"/>
        <v>NA</v>
      </c>
      <c r="M18" s="5">
        <v>1.41</v>
      </c>
      <c r="N18" s="5">
        <v>0</v>
      </c>
      <c r="O18" s="6" t="str">
        <f t="shared" si="6"/>
        <v>NA</v>
      </c>
      <c r="P18" s="73"/>
      <c r="Q18" s="78"/>
    </row>
    <row r="19" spans="1:17" x14ac:dyDescent="0.25">
      <c r="A19" s="52">
        <v>15</v>
      </c>
      <c r="C19" s="1" t="s">
        <v>116</v>
      </c>
      <c r="H19" s="5">
        <f t="shared" si="7"/>
        <v>0</v>
      </c>
      <c r="I19" s="44">
        <v>0</v>
      </c>
      <c r="J19" s="44">
        <f t="shared" si="4"/>
        <v>0</v>
      </c>
      <c r="K19" s="6" t="str">
        <f t="shared" si="5"/>
        <v>NA</v>
      </c>
      <c r="M19" s="5">
        <v>962</v>
      </c>
      <c r="N19" s="5">
        <v>0</v>
      </c>
      <c r="O19" s="6" t="str">
        <f t="shared" si="6"/>
        <v>NA</v>
      </c>
      <c r="P19" s="73"/>
      <c r="Q19" s="78"/>
    </row>
    <row r="20" spans="1:17" x14ac:dyDescent="0.25">
      <c r="A20" s="52">
        <v>16</v>
      </c>
      <c r="B20" s="14" t="s">
        <v>10</v>
      </c>
      <c r="C20" s="14"/>
      <c r="D20" s="14"/>
      <c r="E20" s="14"/>
      <c r="F20" s="14"/>
      <c r="G20" s="14"/>
      <c r="H20" s="14">
        <f>SUM(H15:H19)</f>
        <v>7500</v>
      </c>
      <c r="I20" s="14">
        <v>7500</v>
      </c>
      <c r="J20" s="14">
        <f>SUM(J15:J19)</f>
        <v>0</v>
      </c>
      <c r="K20" s="15">
        <f t="shared" si="5"/>
        <v>0</v>
      </c>
      <c r="M20" s="14">
        <f t="shared" ref="M20:N20" si="8">SUM(M15:M19)</f>
        <v>10390.630000000001</v>
      </c>
      <c r="N20" s="14">
        <f t="shared" si="8"/>
        <v>6875</v>
      </c>
      <c r="O20" s="15">
        <f t="shared" si="6"/>
        <v>0.51136436363636384</v>
      </c>
      <c r="P20" s="73"/>
      <c r="Q20" s="78"/>
    </row>
    <row r="21" spans="1:17" x14ac:dyDescent="0.25">
      <c r="A21" s="52">
        <v>17</v>
      </c>
      <c r="B21" s="14" t="s">
        <v>12</v>
      </c>
      <c r="C21" s="14"/>
      <c r="D21" s="14"/>
      <c r="E21" s="14"/>
      <c r="F21" s="14"/>
      <c r="G21" s="14"/>
      <c r="H21" s="14">
        <f>+H12+H20</f>
        <v>555636.74</v>
      </c>
      <c r="I21" s="14">
        <v>555636.74</v>
      </c>
      <c r="J21" s="14">
        <f>+J12+J20</f>
        <v>0</v>
      </c>
      <c r="K21" s="15">
        <f t="shared" si="5"/>
        <v>0</v>
      </c>
      <c r="M21" s="14">
        <f t="shared" ref="M21:N21" si="9">+M12+M20</f>
        <v>486729.53</v>
      </c>
      <c r="N21" s="14">
        <f t="shared" si="9"/>
        <v>511873.16</v>
      </c>
      <c r="O21" s="15">
        <f t="shared" si="6"/>
        <v>-4.9120821259704156E-2</v>
      </c>
      <c r="P21" s="73"/>
      <c r="Q21" s="78"/>
    </row>
    <row r="22" spans="1:17" ht="6" customHeight="1" x14ac:dyDescent="0.25">
      <c r="A22" s="52">
        <v>18</v>
      </c>
      <c r="K22" s="7"/>
      <c r="P22" s="73"/>
      <c r="Q22" s="78"/>
    </row>
    <row r="23" spans="1:17" ht="18.75" x14ac:dyDescent="0.25">
      <c r="A23" s="52">
        <v>19</v>
      </c>
      <c r="B23" s="10" t="s">
        <v>13</v>
      </c>
      <c r="K23" s="7"/>
      <c r="P23" s="73"/>
      <c r="Q23" s="78"/>
    </row>
    <row r="24" spans="1:17" ht="18.75" x14ac:dyDescent="0.25">
      <c r="A24" s="52">
        <v>20</v>
      </c>
      <c r="B24" s="10" t="s">
        <v>112</v>
      </c>
      <c r="K24" s="7"/>
      <c r="P24" s="73"/>
      <c r="Q24" s="78"/>
    </row>
    <row r="25" spans="1:17" x14ac:dyDescent="0.25">
      <c r="A25" s="52">
        <v>21</v>
      </c>
      <c r="C25" s="1" t="s">
        <v>15</v>
      </c>
      <c r="H25" s="1">
        <f>+H21</f>
        <v>555636.74</v>
      </c>
      <c r="I25" s="1">
        <v>555636.74</v>
      </c>
      <c r="J25" s="44">
        <f t="shared" ref="J25:J29" si="10">+H25-I25</f>
        <v>0</v>
      </c>
      <c r="K25" s="7"/>
      <c r="P25" s="73"/>
      <c r="Q25" s="78"/>
    </row>
    <row r="26" spans="1:17" x14ac:dyDescent="0.25">
      <c r="A26" s="52">
        <v>22</v>
      </c>
      <c r="C26" s="1" t="s">
        <v>14</v>
      </c>
      <c r="H26" s="44">
        <f>-H156</f>
        <v>0</v>
      </c>
      <c r="I26" s="44">
        <v>-54900</v>
      </c>
      <c r="J26" s="44">
        <f t="shared" si="10"/>
        <v>54900</v>
      </c>
      <c r="K26" s="7"/>
      <c r="M26" s="44"/>
      <c r="N26" s="44"/>
      <c r="P26" s="73"/>
      <c r="Q26" s="78"/>
    </row>
    <row r="27" spans="1:17" x14ac:dyDescent="0.25">
      <c r="A27" s="52">
        <v>23</v>
      </c>
      <c r="C27" s="1" t="s">
        <v>16</v>
      </c>
      <c r="H27" s="44">
        <f>-H166</f>
        <v>-16980</v>
      </c>
      <c r="I27" s="44">
        <v>-3389</v>
      </c>
      <c r="J27" s="44">
        <f t="shared" si="10"/>
        <v>-13591</v>
      </c>
      <c r="K27" s="7"/>
      <c r="M27" s="44"/>
      <c r="N27" s="44"/>
      <c r="P27" s="73"/>
      <c r="Q27" s="78"/>
    </row>
    <row r="28" spans="1:17" x14ac:dyDescent="0.25">
      <c r="A28" s="52">
        <v>24</v>
      </c>
      <c r="C28" s="1" t="s">
        <v>17</v>
      </c>
      <c r="H28" s="44">
        <f>-H157</f>
        <v>-1650</v>
      </c>
      <c r="I28" s="44">
        <v>-1650</v>
      </c>
      <c r="J28" s="44">
        <f t="shared" si="10"/>
        <v>0</v>
      </c>
      <c r="K28" s="7"/>
      <c r="M28" s="44"/>
      <c r="N28" s="44"/>
      <c r="P28" s="73"/>
      <c r="Q28" s="78"/>
    </row>
    <row r="29" spans="1:17" x14ac:dyDescent="0.25">
      <c r="A29" s="52">
        <v>25</v>
      </c>
      <c r="C29" s="1" t="s">
        <v>241</v>
      </c>
      <c r="H29" s="1">
        <f>SUM(H25:H28)</f>
        <v>537006.74</v>
      </c>
      <c r="I29" s="1">
        <v>495697.74</v>
      </c>
      <c r="J29" s="44">
        <f t="shared" si="10"/>
        <v>41309</v>
      </c>
      <c r="K29" s="7"/>
      <c r="P29" s="73"/>
      <c r="Q29" s="78"/>
    </row>
    <row r="30" spans="1:17" s="4" customFormat="1" x14ac:dyDescent="0.25">
      <c r="A30" s="52">
        <v>26</v>
      </c>
      <c r="B30" s="16"/>
      <c r="C30" s="17" t="s">
        <v>113</v>
      </c>
      <c r="D30" s="16"/>
      <c r="E30" s="16"/>
      <c r="F30" s="16"/>
      <c r="G30" s="16"/>
      <c r="H30" s="16">
        <f>ROUND(+H29*0.1,0)</f>
        <v>53701</v>
      </c>
      <c r="I30" s="54">
        <v>49570</v>
      </c>
      <c r="J30" s="16">
        <f>ROUND(+J29*0.1,0)</f>
        <v>4131</v>
      </c>
      <c r="K30" s="18">
        <f>IF(I30=0,"NA",(+H30-I30)/I30)</f>
        <v>8.3336695582005252E-2</v>
      </c>
      <c r="L30" s="1"/>
      <c r="M30" s="77">
        <v>42096.99</v>
      </c>
      <c r="N30" s="77">
        <v>42750.61</v>
      </c>
      <c r="O30" s="18">
        <f>IF(N30=0,"NA",(+M30-N30)/N30)</f>
        <v>-1.5289138564338675E-2</v>
      </c>
      <c r="P30" s="79" t="s">
        <v>111</v>
      </c>
      <c r="Q30" s="78" t="s">
        <v>111</v>
      </c>
    </row>
    <row r="31" spans="1:17" s="4" customFormat="1" ht="6.75" customHeight="1" x14ac:dyDescent="0.25">
      <c r="A31" s="52">
        <v>27</v>
      </c>
      <c r="B31" s="19"/>
      <c r="C31" s="20"/>
      <c r="D31" s="19"/>
      <c r="E31" s="19"/>
      <c r="F31" s="19"/>
      <c r="G31" s="19"/>
      <c r="H31" s="19"/>
      <c r="I31" s="21"/>
      <c r="J31" s="19"/>
      <c r="K31" s="22"/>
      <c r="L31" s="1"/>
      <c r="M31" s="19"/>
      <c r="N31" s="19"/>
      <c r="O31" s="22"/>
      <c r="P31" s="74"/>
      <c r="Q31" s="79"/>
    </row>
    <row r="32" spans="1:17" s="4" customFormat="1" ht="18.75" x14ac:dyDescent="0.25">
      <c r="A32" s="52">
        <v>28</v>
      </c>
      <c r="B32" s="23" t="s">
        <v>76</v>
      </c>
      <c r="C32" s="20"/>
      <c r="D32" s="19"/>
      <c r="E32" s="19"/>
      <c r="F32" s="19"/>
      <c r="G32" s="19"/>
      <c r="H32" s="19"/>
      <c r="I32" s="21"/>
      <c r="J32" s="19"/>
      <c r="K32" s="22"/>
      <c r="L32" s="1"/>
      <c r="M32" s="19"/>
      <c r="N32" s="19"/>
      <c r="O32" s="22"/>
      <c r="P32" s="74"/>
      <c r="Q32" s="79"/>
    </row>
    <row r="33" spans="1:17" x14ac:dyDescent="0.25">
      <c r="A33" s="52">
        <v>29</v>
      </c>
      <c r="B33" s="4" t="s">
        <v>18</v>
      </c>
      <c r="K33" s="7"/>
      <c r="P33" s="73"/>
      <c r="Q33" s="78"/>
    </row>
    <row r="34" spans="1:17" ht="30" x14ac:dyDescent="0.25">
      <c r="A34" s="52">
        <v>30</v>
      </c>
      <c r="C34" s="1" t="s">
        <v>102</v>
      </c>
      <c r="H34" s="5">
        <f>+I34</f>
        <v>3000</v>
      </c>
      <c r="I34" s="44">
        <v>3000</v>
      </c>
      <c r="J34" s="44">
        <f t="shared" ref="J34:J40" si="11">+H34-I34</f>
        <v>0</v>
      </c>
      <c r="K34" s="6">
        <f t="shared" ref="K34:K41" si="12">IF(I34=0,"NA",(+H34-I34)/I34)</f>
        <v>0</v>
      </c>
      <c r="M34" s="5">
        <v>1236.03</v>
      </c>
      <c r="N34" s="5">
        <v>2700</v>
      </c>
      <c r="O34" s="6">
        <f t="shared" ref="O34:O41" si="13">IF(N34=0,"NA",(+M34-N34)/N34)</f>
        <v>-0.54221111111111109</v>
      </c>
      <c r="P34" s="73"/>
      <c r="Q34" s="78" t="s">
        <v>139</v>
      </c>
    </row>
    <row r="35" spans="1:17" ht="30" x14ac:dyDescent="0.25">
      <c r="A35" s="52">
        <v>31</v>
      </c>
      <c r="C35" s="1" t="s">
        <v>19</v>
      </c>
      <c r="H35" s="5">
        <v>1281</v>
      </c>
      <c r="I35" s="44">
        <v>1000</v>
      </c>
      <c r="J35" s="44">
        <f t="shared" si="11"/>
        <v>281</v>
      </c>
      <c r="K35" s="6">
        <f t="shared" si="12"/>
        <v>0.28100000000000003</v>
      </c>
      <c r="M35" s="5">
        <v>1132.4100000000001</v>
      </c>
      <c r="N35" s="5">
        <v>889</v>
      </c>
      <c r="O35" s="6">
        <f t="shared" si="13"/>
        <v>0.27380202474690674</v>
      </c>
      <c r="P35" s="80" t="s">
        <v>229</v>
      </c>
      <c r="Q35" s="78" t="s">
        <v>134</v>
      </c>
    </row>
    <row r="36" spans="1:17" ht="30" x14ac:dyDescent="0.25">
      <c r="A36" s="52">
        <v>32</v>
      </c>
      <c r="C36" s="1" t="s">
        <v>20</v>
      </c>
      <c r="H36" s="5">
        <v>1000</v>
      </c>
      <c r="I36" s="44">
        <v>1200</v>
      </c>
      <c r="J36" s="44">
        <f t="shared" si="11"/>
        <v>-200</v>
      </c>
      <c r="K36" s="6">
        <f t="shared" si="12"/>
        <v>-0.16666666666666666</v>
      </c>
      <c r="M36" s="5">
        <v>1147.1300000000001</v>
      </c>
      <c r="N36" s="5">
        <v>1200</v>
      </c>
      <c r="O36" s="6">
        <f t="shared" si="13"/>
        <v>-4.4058333333333241E-2</v>
      </c>
      <c r="P36" s="80"/>
      <c r="Q36" s="78" t="s">
        <v>136</v>
      </c>
    </row>
    <row r="37" spans="1:17" x14ac:dyDescent="0.25">
      <c r="A37" s="52">
        <v>33</v>
      </c>
      <c r="C37" s="1" t="s">
        <v>21</v>
      </c>
      <c r="H37" s="5">
        <v>500</v>
      </c>
      <c r="I37" s="44">
        <v>300</v>
      </c>
      <c r="J37" s="44">
        <f t="shared" si="11"/>
        <v>200</v>
      </c>
      <c r="K37" s="6">
        <f t="shared" si="12"/>
        <v>0.66666666666666663</v>
      </c>
      <c r="M37" s="5">
        <v>291.73</v>
      </c>
      <c r="N37" s="5">
        <v>0</v>
      </c>
      <c r="O37" s="6" t="str">
        <f t="shared" si="13"/>
        <v>NA</v>
      </c>
      <c r="P37" s="73"/>
      <c r="Q37" s="78" t="s">
        <v>135</v>
      </c>
    </row>
    <row r="38" spans="1:17" x14ac:dyDescent="0.25">
      <c r="A38" s="52">
        <v>34</v>
      </c>
      <c r="C38" s="1" t="s">
        <v>22</v>
      </c>
      <c r="H38" s="5">
        <v>400</v>
      </c>
      <c r="I38" s="44">
        <v>140</v>
      </c>
      <c r="J38" s="44">
        <f t="shared" si="11"/>
        <v>260</v>
      </c>
      <c r="K38" s="6">
        <f t="shared" si="12"/>
        <v>1.8571428571428572</v>
      </c>
      <c r="M38" s="5">
        <v>65.59</v>
      </c>
      <c r="N38" s="5">
        <v>140</v>
      </c>
      <c r="O38" s="6">
        <f t="shared" si="13"/>
        <v>-0.53149999999999997</v>
      </c>
      <c r="P38" s="80" t="s">
        <v>211</v>
      </c>
      <c r="Q38" s="78" t="s">
        <v>140</v>
      </c>
    </row>
    <row r="39" spans="1:17" x14ac:dyDescent="0.25">
      <c r="C39" s="1" t="s">
        <v>212</v>
      </c>
      <c r="H39" s="5">
        <v>750</v>
      </c>
      <c r="I39" s="44">
        <v>750</v>
      </c>
      <c r="J39" s="44">
        <f t="shared" si="11"/>
        <v>0</v>
      </c>
      <c r="K39" s="6">
        <f t="shared" ref="K39" si="14">IF(I39=0,"NA",(+H39-I39)/I39)</f>
        <v>0</v>
      </c>
      <c r="M39" s="5">
        <v>1066.94</v>
      </c>
      <c r="N39" s="5">
        <v>687.5</v>
      </c>
      <c r="O39" s="6">
        <f t="shared" ref="O39" si="15">IF(N39=0,"NA",(+M39-N39)/N39)</f>
        <v>0.55191272727272733</v>
      </c>
      <c r="P39" s="80" t="s">
        <v>213</v>
      </c>
      <c r="Q39" s="78"/>
    </row>
    <row r="40" spans="1:17" x14ac:dyDescent="0.25">
      <c r="A40" s="52">
        <v>35</v>
      </c>
      <c r="C40" s="1" t="s">
        <v>106</v>
      </c>
      <c r="H40" s="5">
        <f t="shared" ref="H40" si="16">+I40</f>
        <v>400</v>
      </c>
      <c r="I40" s="44">
        <v>400</v>
      </c>
      <c r="J40" s="44">
        <f t="shared" si="11"/>
        <v>0</v>
      </c>
      <c r="K40" s="6">
        <f t="shared" si="12"/>
        <v>0</v>
      </c>
      <c r="M40" s="5">
        <v>466.43</v>
      </c>
      <c r="N40" s="5">
        <v>366.63</v>
      </c>
      <c r="O40" s="6">
        <f t="shared" si="13"/>
        <v>0.2722090390857268</v>
      </c>
      <c r="P40" s="75"/>
      <c r="Q40" s="80" t="s">
        <v>138</v>
      </c>
    </row>
    <row r="41" spans="1:17" s="4" customFormat="1" x14ac:dyDescent="0.25">
      <c r="A41" s="52">
        <v>36</v>
      </c>
      <c r="B41" s="24" t="s">
        <v>23</v>
      </c>
      <c r="C41" s="24"/>
      <c r="D41" s="24"/>
      <c r="E41" s="43"/>
      <c r="F41" s="43"/>
      <c r="G41" s="43"/>
      <c r="H41" s="24">
        <f>SUM(H34:H40)</f>
        <v>7331</v>
      </c>
      <c r="I41" s="43">
        <f>SUM(I34:I40)</f>
        <v>6790</v>
      </c>
      <c r="J41" s="43">
        <f>SUM(J34:J40)</f>
        <v>541</v>
      </c>
      <c r="K41" s="25">
        <f t="shared" si="12"/>
        <v>7.9675994108983794E-2</v>
      </c>
      <c r="M41" s="43">
        <f t="shared" ref="M41:N41" si="17">SUM(M34:M40)</f>
        <v>5406.26</v>
      </c>
      <c r="N41" s="43">
        <f t="shared" si="17"/>
        <v>5983.13</v>
      </c>
      <c r="O41" s="25">
        <f t="shared" si="13"/>
        <v>-9.6416089906119357E-2</v>
      </c>
      <c r="P41" s="74"/>
      <c r="Q41" s="78" t="s">
        <v>137</v>
      </c>
    </row>
    <row r="42" spans="1:17" ht="6" customHeight="1" x14ac:dyDescent="0.25">
      <c r="A42" s="52">
        <v>37</v>
      </c>
      <c r="K42" s="7"/>
      <c r="P42" s="73"/>
      <c r="Q42" s="78"/>
    </row>
    <row r="43" spans="1:17" x14ac:dyDescent="0.25">
      <c r="A43" s="52">
        <v>40</v>
      </c>
      <c r="B43" s="4" t="s">
        <v>24</v>
      </c>
      <c r="K43" s="7"/>
      <c r="P43" s="73"/>
      <c r="Q43" s="78"/>
    </row>
    <row r="44" spans="1:17" ht="60" x14ac:dyDescent="0.25">
      <c r="A44" s="52">
        <v>41</v>
      </c>
      <c r="C44" s="1" t="s">
        <v>26</v>
      </c>
      <c r="H44" s="5">
        <f>+I44</f>
        <v>5200</v>
      </c>
      <c r="I44" s="44">
        <v>5200</v>
      </c>
      <c r="J44" s="44">
        <f t="shared" ref="J44:J47" si="18">+H44-I44</f>
        <v>0</v>
      </c>
      <c r="K44" s="6">
        <f t="shared" ref="K44:K48" si="19">IF(I44=0,"NA",(+H44-I44)/I44)</f>
        <v>0</v>
      </c>
      <c r="M44" s="5">
        <v>6300.01</v>
      </c>
      <c r="N44" s="5">
        <v>4766.63</v>
      </c>
      <c r="O44" s="6">
        <f>IF(N44=0,"NA",(+M44-N44)/N44)</f>
        <v>0.32169058643108445</v>
      </c>
      <c r="P44" s="80" t="s">
        <v>208</v>
      </c>
      <c r="Q44" s="78" t="s">
        <v>141</v>
      </c>
    </row>
    <row r="45" spans="1:17" x14ac:dyDescent="0.25">
      <c r="A45" s="52">
        <v>42</v>
      </c>
      <c r="C45" s="1" t="s">
        <v>168</v>
      </c>
      <c r="H45" s="5">
        <f t="shared" ref="H45:H47" si="20">+I45</f>
        <v>1300</v>
      </c>
      <c r="I45" s="44">
        <v>1300</v>
      </c>
      <c r="J45" s="44">
        <f t="shared" si="18"/>
        <v>0</v>
      </c>
      <c r="K45" s="6">
        <f t="shared" si="19"/>
        <v>0</v>
      </c>
      <c r="M45" s="61">
        <v>650</v>
      </c>
      <c r="N45" s="61">
        <v>1191.6300000000001</v>
      </c>
      <c r="O45" s="6">
        <f>IF(N45=0,"NA",(+M45-N45)/N45)</f>
        <v>-0.45452867081224879</v>
      </c>
      <c r="P45" s="73"/>
      <c r="Q45" s="78" t="s">
        <v>142</v>
      </c>
    </row>
    <row r="46" spans="1:17" x14ac:dyDescent="0.25">
      <c r="A46" s="52">
        <v>43</v>
      </c>
      <c r="C46" s="1" t="s">
        <v>28</v>
      </c>
      <c r="H46" s="5">
        <v>200</v>
      </c>
      <c r="I46" s="44">
        <v>800</v>
      </c>
      <c r="J46" s="44">
        <f t="shared" si="18"/>
        <v>-600</v>
      </c>
      <c r="K46" s="6">
        <f t="shared" si="19"/>
        <v>-0.75</v>
      </c>
      <c r="M46" s="5">
        <v>136.83000000000001</v>
      </c>
      <c r="N46" s="5">
        <v>733.37</v>
      </c>
      <c r="O46" s="6">
        <f>IF(N46=0,"NA",(+M46-N46)/N46)</f>
        <v>-0.81342296521537549</v>
      </c>
      <c r="P46" s="73"/>
      <c r="Q46" s="78" t="s">
        <v>143</v>
      </c>
    </row>
    <row r="47" spans="1:17" x14ac:dyDescent="0.25">
      <c r="A47" s="52">
        <v>44</v>
      </c>
      <c r="C47" s="1" t="s">
        <v>29</v>
      </c>
      <c r="H47" s="5">
        <f t="shared" si="20"/>
        <v>200</v>
      </c>
      <c r="I47" s="44">
        <v>200</v>
      </c>
      <c r="J47" s="44">
        <f t="shared" si="18"/>
        <v>0</v>
      </c>
      <c r="K47" s="6">
        <f t="shared" si="19"/>
        <v>0</v>
      </c>
      <c r="M47" s="5">
        <v>34</v>
      </c>
      <c r="N47" s="5">
        <v>183.37</v>
      </c>
      <c r="O47" s="6">
        <f>IF(N47=0,"NA",(+M47-N47)/N47)</f>
        <v>-0.81458253803784697</v>
      </c>
      <c r="P47" s="85" t="s">
        <v>209</v>
      </c>
      <c r="Q47" s="78" t="s">
        <v>144</v>
      </c>
    </row>
    <row r="48" spans="1:17" s="4" customFormat="1" x14ac:dyDescent="0.25">
      <c r="A48" s="52">
        <v>45</v>
      </c>
      <c r="B48" s="24" t="s">
        <v>25</v>
      </c>
      <c r="C48" s="24"/>
      <c r="D48" s="24"/>
      <c r="E48" s="43"/>
      <c r="F48" s="43"/>
      <c r="G48" s="43"/>
      <c r="H48" s="24">
        <f>SUM(H44:H47)</f>
        <v>6900</v>
      </c>
      <c r="I48" s="24">
        <v>7500</v>
      </c>
      <c r="J48" s="43">
        <f>SUM(J44:J47)</f>
        <v>-600</v>
      </c>
      <c r="K48" s="25">
        <f t="shared" si="19"/>
        <v>-0.08</v>
      </c>
      <c r="M48" s="43">
        <f>SUM(M44:M47)</f>
        <v>7120.84</v>
      </c>
      <c r="N48" s="43">
        <f>SUM(N44:N47)</f>
        <v>6875</v>
      </c>
      <c r="O48" s="25">
        <f>IF(N48=0,"NA",(+M48-N48)/N48)</f>
        <v>3.5758545454545473E-2</v>
      </c>
      <c r="P48" s="74"/>
      <c r="Q48" s="79" t="s">
        <v>145</v>
      </c>
    </row>
    <row r="49" spans="1:17" ht="6.75" customHeight="1" x14ac:dyDescent="0.25">
      <c r="A49" s="52">
        <v>46</v>
      </c>
      <c r="K49" s="7"/>
      <c r="P49" s="73"/>
      <c r="Q49" s="78"/>
    </row>
    <row r="50" spans="1:17" s="4" customFormat="1" ht="30" x14ac:dyDescent="0.25">
      <c r="A50" s="52">
        <v>51</v>
      </c>
      <c r="B50" s="24" t="s">
        <v>30</v>
      </c>
      <c r="C50" s="24"/>
      <c r="D50" s="24"/>
      <c r="E50" s="43"/>
      <c r="F50" s="43"/>
      <c r="G50" s="43"/>
      <c r="H50" s="83">
        <v>11000</v>
      </c>
      <c r="I50" s="83">
        <v>8000</v>
      </c>
      <c r="J50" s="55">
        <f t="shared" ref="J50" si="21">+H50-I50</f>
        <v>3000</v>
      </c>
      <c r="K50" s="25">
        <f t="shared" ref="K50" si="22">IF(I50=0,"NA",(+H50-I50)/I50)</f>
        <v>0.375</v>
      </c>
      <c r="M50" s="83">
        <v>3666.81</v>
      </c>
      <c r="N50" s="83">
        <v>7333.37</v>
      </c>
      <c r="O50" s="25">
        <f>IF(N50=0,"NA",(+M50-N50)/N50)</f>
        <v>-0.49998295463068138</v>
      </c>
      <c r="P50" s="78" t="s">
        <v>214</v>
      </c>
      <c r="Q50" s="79"/>
    </row>
    <row r="51" spans="1:17" ht="6.75" customHeight="1" x14ac:dyDescent="0.25">
      <c r="A51" s="52">
        <v>52</v>
      </c>
      <c r="K51" s="7"/>
      <c r="P51" s="73"/>
      <c r="Q51" s="78"/>
    </row>
    <row r="52" spans="1:17" x14ac:dyDescent="0.25">
      <c r="A52" s="52">
        <v>53</v>
      </c>
      <c r="B52" s="4" t="s">
        <v>115</v>
      </c>
      <c r="K52" s="7"/>
      <c r="P52" s="73"/>
      <c r="Q52" s="78"/>
    </row>
    <row r="53" spans="1:17" ht="30" x14ac:dyDescent="0.25">
      <c r="A53" s="52">
        <v>54</v>
      </c>
      <c r="C53" s="1" t="s">
        <v>117</v>
      </c>
      <c r="H53" s="5">
        <v>400</v>
      </c>
      <c r="I53" s="44">
        <v>300</v>
      </c>
      <c r="J53" s="44">
        <f t="shared" ref="J53:J54" si="23">+H53-I53</f>
        <v>100</v>
      </c>
      <c r="K53" s="6">
        <f t="shared" ref="K53:K55" si="24">IF(I53=0,"NA",(+H53-I53)/I53)</f>
        <v>0.33333333333333331</v>
      </c>
      <c r="M53" s="5">
        <v>122.18</v>
      </c>
      <c r="N53" s="5">
        <v>275</v>
      </c>
      <c r="O53" s="6">
        <f>IF(N53=0,"NA",(+M53-N53)/N53)</f>
        <v>-0.55570909090909093</v>
      </c>
      <c r="P53" s="78" t="s">
        <v>170</v>
      </c>
      <c r="Q53" s="78" t="s">
        <v>201</v>
      </c>
    </row>
    <row r="54" spans="1:17" x14ac:dyDescent="0.25">
      <c r="A54" s="52">
        <v>55</v>
      </c>
      <c r="C54" s="1" t="s">
        <v>110</v>
      </c>
      <c r="H54" s="5">
        <v>500</v>
      </c>
      <c r="I54" s="44">
        <v>300</v>
      </c>
      <c r="J54" s="44">
        <f t="shared" si="23"/>
        <v>200</v>
      </c>
      <c r="K54" s="6">
        <f t="shared" si="24"/>
        <v>0.66666666666666663</v>
      </c>
      <c r="M54" s="5">
        <v>292.51</v>
      </c>
      <c r="N54" s="5">
        <v>275</v>
      </c>
      <c r="O54" s="6">
        <f>IF(N54=0,"NA",(+M54-N54)/N54)</f>
        <v>6.3672727272727242E-2</v>
      </c>
      <c r="P54" s="78" t="s">
        <v>215</v>
      </c>
      <c r="Q54" s="78"/>
    </row>
    <row r="55" spans="1:17" s="4" customFormat="1" x14ac:dyDescent="0.25">
      <c r="A55" s="52">
        <v>56</v>
      </c>
      <c r="B55" s="24" t="s">
        <v>109</v>
      </c>
      <c r="C55" s="24"/>
      <c r="D55" s="24"/>
      <c r="E55" s="43"/>
      <c r="F55" s="43"/>
      <c r="G55" s="43"/>
      <c r="H55" s="24">
        <f>SUM(H53:H54)</f>
        <v>900</v>
      </c>
      <c r="I55" s="24">
        <v>600</v>
      </c>
      <c r="J55" s="43">
        <f>SUM(J53:J54)</f>
        <v>300</v>
      </c>
      <c r="K55" s="25">
        <f t="shared" si="24"/>
        <v>0.5</v>
      </c>
      <c r="M55" s="43">
        <f>SUM(M53:M54)</f>
        <v>414.69</v>
      </c>
      <c r="N55" s="43">
        <f>SUM(N53:N54)</f>
        <v>550</v>
      </c>
      <c r="O55" s="25">
        <f>IF(N55=0,"NA",(+M55-N55)/N55)</f>
        <v>-0.24601818181818183</v>
      </c>
      <c r="P55" s="74"/>
      <c r="Q55" s="79"/>
    </row>
    <row r="56" spans="1:17" ht="5.25" customHeight="1" x14ac:dyDescent="0.25">
      <c r="A56" s="52">
        <v>57</v>
      </c>
      <c r="K56" s="7"/>
      <c r="P56" s="73"/>
      <c r="Q56" s="78"/>
    </row>
    <row r="57" spans="1:17" x14ac:dyDescent="0.25">
      <c r="A57" s="52">
        <v>58</v>
      </c>
      <c r="B57" s="24" t="s">
        <v>31</v>
      </c>
      <c r="C57" s="26"/>
      <c r="D57" s="26"/>
      <c r="E57" s="26"/>
      <c r="F57" s="26"/>
      <c r="G57" s="26"/>
      <c r="H57" s="27">
        <f>+I57</f>
        <v>200</v>
      </c>
      <c r="I57" s="56">
        <v>200</v>
      </c>
      <c r="J57" s="55">
        <f t="shared" ref="J57" si="25">+H57-I57</f>
        <v>0</v>
      </c>
      <c r="K57" s="25">
        <f>IF(I57=0,"NA",(+H57-I57)/I57)</f>
        <v>0</v>
      </c>
      <c r="M57" s="27">
        <v>200</v>
      </c>
      <c r="N57" s="27">
        <v>183.37</v>
      </c>
      <c r="O57" s="25">
        <f>IF(N57=0,"NA",(+M57-N57)/N57)</f>
        <v>9.0690952718547171E-2</v>
      </c>
      <c r="P57" s="78" t="s">
        <v>146</v>
      </c>
      <c r="Q57" s="78" t="s">
        <v>146</v>
      </c>
    </row>
    <row r="58" spans="1:17" ht="6" customHeight="1" x14ac:dyDescent="0.25">
      <c r="A58" s="52">
        <v>59</v>
      </c>
      <c r="K58" s="7"/>
      <c r="P58" s="73"/>
      <c r="Q58" s="78"/>
    </row>
    <row r="59" spans="1:17" x14ac:dyDescent="0.25">
      <c r="A59" s="52">
        <v>60</v>
      </c>
      <c r="B59" s="4" t="s">
        <v>32</v>
      </c>
      <c r="K59" s="7"/>
      <c r="P59" s="73"/>
      <c r="Q59" s="78"/>
    </row>
    <row r="60" spans="1:17" x14ac:dyDescent="0.25">
      <c r="A60" s="52">
        <v>61</v>
      </c>
      <c r="C60" s="1" t="s">
        <v>33</v>
      </c>
      <c r="H60" s="5">
        <f>+I60</f>
        <v>200</v>
      </c>
      <c r="I60" s="44">
        <v>200</v>
      </c>
      <c r="J60" s="44">
        <f t="shared" ref="J60:J65" si="26">+H60-I60</f>
        <v>0</v>
      </c>
      <c r="K60" s="6">
        <f t="shared" ref="K60:K66" si="27">IF(I60=0,"NA",(+H60-I60)/I60)</f>
        <v>0</v>
      </c>
      <c r="M60" s="5">
        <v>297.86</v>
      </c>
      <c r="N60" s="5">
        <v>200</v>
      </c>
      <c r="O60" s="6">
        <f t="shared" ref="O60:O66" si="28">IF(N60=0,"NA",(+M60-N60)/N60)</f>
        <v>0.48930000000000007</v>
      </c>
      <c r="P60" s="73"/>
      <c r="Q60" s="78"/>
    </row>
    <row r="61" spans="1:17" ht="15.75" x14ac:dyDescent="0.25">
      <c r="A61" s="52">
        <v>62</v>
      </c>
      <c r="C61" s="1" t="s">
        <v>34</v>
      </c>
      <c r="H61" s="5">
        <f t="shared" ref="H61:H65" si="29">+I61</f>
        <v>800</v>
      </c>
      <c r="I61" s="44">
        <v>800</v>
      </c>
      <c r="J61" s="44">
        <f t="shared" si="26"/>
        <v>0</v>
      </c>
      <c r="K61" s="6">
        <f t="shared" si="27"/>
        <v>0</v>
      </c>
      <c r="M61" s="5">
        <v>817.52</v>
      </c>
      <c r="N61" s="5">
        <v>800</v>
      </c>
      <c r="O61" s="6">
        <f t="shared" si="28"/>
        <v>2.1899999999999979E-2</v>
      </c>
      <c r="P61" s="88"/>
      <c r="Q61" s="78"/>
    </row>
    <row r="62" spans="1:17" ht="45.75" customHeight="1" x14ac:dyDescent="0.25">
      <c r="A62" s="52">
        <v>63</v>
      </c>
      <c r="C62" s="1" t="s">
        <v>35</v>
      </c>
      <c r="H62" s="5">
        <v>1200</v>
      </c>
      <c r="I62" s="44">
        <v>800</v>
      </c>
      <c r="J62" s="44">
        <f t="shared" si="26"/>
        <v>400</v>
      </c>
      <c r="K62" s="6">
        <f t="shared" si="27"/>
        <v>0.5</v>
      </c>
      <c r="M62" s="5">
        <v>900</v>
      </c>
      <c r="N62" s="5">
        <v>800</v>
      </c>
      <c r="O62" s="6">
        <f t="shared" si="28"/>
        <v>0.125</v>
      </c>
      <c r="P62" s="82" t="s">
        <v>238</v>
      </c>
      <c r="Q62" s="82" t="s">
        <v>177</v>
      </c>
    </row>
    <row r="63" spans="1:17" ht="70.5" customHeight="1" x14ac:dyDescent="0.25">
      <c r="A63" s="52">
        <v>64</v>
      </c>
      <c r="C63" s="1" t="s">
        <v>36</v>
      </c>
      <c r="H63" s="61">
        <f>3000+3000</f>
        <v>6000</v>
      </c>
      <c r="I63" s="44">
        <v>400</v>
      </c>
      <c r="J63" s="44">
        <f t="shared" si="26"/>
        <v>5600</v>
      </c>
      <c r="K63" s="6">
        <f t="shared" si="27"/>
        <v>14</v>
      </c>
      <c r="M63" s="5">
        <v>19.899999999999999</v>
      </c>
      <c r="N63" s="5">
        <v>366.63</v>
      </c>
      <c r="O63" s="6">
        <f t="shared" si="28"/>
        <v>-0.94572184491176392</v>
      </c>
      <c r="P63" s="80" t="s">
        <v>258</v>
      </c>
      <c r="Q63" s="80" t="s">
        <v>128</v>
      </c>
    </row>
    <row r="64" spans="1:17" ht="30" x14ac:dyDescent="0.25">
      <c r="C64" s="1" t="s">
        <v>255</v>
      </c>
      <c r="H64" s="61">
        <v>300</v>
      </c>
      <c r="I64" s="44">
        <v>0</v>
      </c>
      <c r="J64" s="44">
        <f t="shared" ref="J64" si="30">+H64-I64</f>
        <v>300</v>
      </c>
      <c r="K64" s="6" t="str">
        <f t="shared" ref="K64" si="31">IF(I64=0,"NA",(+H64-I64)/I64)</f>
        <v>NA</v>
      </c>
      <c r="M64" s="5">
        <v>0</v>
      </c>
      <c r="N64" s="5">
        <v>0</v>
      </c>
      <c r="O64" s="6" t="str">
        <f t="shared" ref="O64" si="32">IF(N64=0,"NA",(+M64-N64)/N64)</f>
        <v>NA</v>
      </c>
      <c r="P64" s="80" t="s">
        <v>256</v>
      </c>
      <c r="Q64" s="80"/>
    </row>
    <row r="65" spans="1:17" x14ac:dyDescent="0.25">
      <c r="A65" s="52">
        <v>65</v>
      </c>
      <c r="C65" s="1" t="s">
        <v>37</v>
      </c>
      <c r="H65" s="5">
        <f t="shared" si="29"/>
        <v>800</v>
      </c>
      <c r="I65" s="44">
        <v>800</v>
      </c>
      <c r="J65" s="44">
        <f t="shared" si="26"/>
        <v>0</v>
      </c>
      <c r="K65" s="6">
        <f t="shared" si="27"/>
        <v>0</v>
      </c>
      <c r="M65" s="61">
        <v>508</v>
      </c>
      <c r="N65" s="61">
        <v>733.37</v>
      </c>
      <c r="O65" s="6">
        <f t="shared" si="28"/>
        <v>-0.30730736190463204</v>
      </c>
      <c r="P65" s="73"/>
      <c r="Q65" s="78"/>
    </row>
    <row r="66" spans="1:17" s="4" customFormat="1" x14ac:dyDescent="0.25">
      <c r="A66" s="52">
        <v>66</v>
      </c>
      <c r="B66" s="24" t="s">
        <v>38</v>
      </c>
      <c r="C66" s="24"/>
      <c r="D66" s="24"/>
      <c r="E66" s="43"/>
      <c r="F66" s="43"/>
      <c r="G66" s="43"/>
      <c r="H66" s="24">
        <f>SUM(H60:H65)</f>
        <v>9300</v>
      </c>
      <c r="I66" s="24">
        <v>3000</v>
      </c>
      <c r="J66" s="43">
        <f>SUM(J60:J65)</f>
        <v>6300</v>
      </c>
      <c r="K66" s="25">
        <f t="shared" si="27"/>
        <v>2.1</v>
      </c>
      <c r="M66" s="43">
        <f>SUM(M60:M65)</f>
        <v>2543.2800000000002</v>
      </c>
      <c r="N66" s="43">
        <f>SUM(N60:N65)</f>
        <v>2900</v>
      </c>
      <c r="O66" s="25">
        <f t="shared" si="28"/>
        <v>-0.12300689655172407</v>
      </c>
      <c r="P66" s="74"/>
      <c r="Q66" s="79"/>
    </row>
    <row r="67" spans="1:17" ht="6" customHeight="1" x14ac:dyDescent="0.25">
      <c r="A67" s="52">
        <v>67</v>
      </c>
      <c r="K67" s="7"/>
      <c r="P67" s="73"/>
      <c r="Q67" s="78"/>
    </row>
    <row r="68" spans="1:17" x14ac:dyDescent="0.25">
      <c r="A68" s="52">
        <v>68</v>
      </c>
      <c r="B68" s="4" t="s">
        <v>39</v>
      </c>
      <c r="K68" s="7"/>
      <c r="P68" s="73"/>
      <c r="Q68" s="78"/>
    </row>
    <row r="69" spans="1:17" ht="58.5" customHeight="1" x14ac:dyDescent="0.25">
      <c r="A69" s="52">
        <v>69</v>
      </c>
      <c r="C69" s="1" t="s">
        <v>40</v>
      </c>
      <c r="H69" s="5">
        <f>+I69</f>
        <v>5000</v>
      </c>
      <c r="I69" s="44">
        <v>5000</v>
      </c>
      <c r="J69" s="44">
        <f t="shared" ref="J69:J74" si="33">+H69-I69</f>
        <v>0</v>
      </c>
      <c r="K69" s="6">
        <f t="shared" ref="K69:K76" si="34">IF(I69=0,"NA",(+H69-I69)/I69)</f>
        <v>0</v>
      </c>
      <c r="M69" s="5">
        <v>6912.27</v>
      </c>
      <c r="N69" s="5">
        <v>4583.37</v>
      </c>
      <c r="O69" s="6">
        <f t="shared" ref="O69:O76" si="35">IF(N69=0,"NA",(+M69-N69)/N69)</f>
        <v>0.50811957140706521</v>
      </c>
      <c r="P69" s="80" t="s">
        <v>216</v>
      </c>
      <c r="Q69" s="80" t="s">
        <v>178</v>
      </c>
    </row>
    <row r="70" spans="1:17" ht="48.75" customHeight="1" x14ac:dyDescent="0.25">
      <c r="A70" s="52">
        <v>70</v>
      </c>
      <c r="C70" s="1" t="s">
        <v>41</v>
      </c>
      <c r="H70" s="5">
        <f>6000-2000</f>
        <v>4000</v>
      </c>
      <c r="I70" s="44">
        <v>4500</v>
      </c>
      <c r="J70" s="44">
        <f t="shared" si="33"/>
        <v>-500</v>
      </c>
      <c r="K70" s="6">
        <f t="shared" si="34"/>
        <v>-0.1111111111111111</v>
      </c>
      <c r="M70" s="5">
        <v>4913.66</v>
      </c>
      <c r="N70" s="5">
        <v>4125</v>
      </c>
      <c r="O70" s="6">
        <f t="shared" si="35"/>
        <v>0.19119030303030299</v>
      </c>
      <c r="P70" s="80" t="s">
        <v>203</v>
      </c>
      <c r="Q70" s="80" t="s">
        <v>179</v>
      </c>
    </row>
    <row r="71" spans="1:17" x14ac:dyDescent="0.25">
      <c r="A71" s="52">
        <v>71</v>
      </c>
      <c r="C71" s="1" t="s">
        <v>118</v>
      </c>
      <c r="H71" s="5">
        <v>0</v>
      </c>
      <c r="I71" s="44">
        <v>500</v>
      </c>
      <c r="J71" s="44">
        <f t="shared" si="33"/>
        <v>-500</v>
      </c>
      <c r="K71" s="6">
        <f t="shared" si="34"/>
        <v>-1</v>
      </c>
      <c r="M71" s="5">
        <v>460.14</v>
      </c>
      <c r="N71" s="5">
        <v>458.37</v>
      </c>
      <c r="O71" s="6">
        <f t="shared" si="35"/>
        <v>3.8615092610772561E-3</v>
      </c>
      <c r="P71" s="78" t="s">
        <v>228</v>
      </c>
      <c r="Q71" s="80" t="s">
        <v>179</v>
      </c>
    </row>
    <row r="72" spans="1:17" ht="62.25" customHeight="1" x14ac:dyDescent="0.25">
      <c r="A72" s="52">
        <v>73</v>
      </c>
      <c r="C72" s="1" t="s">
        <v>42</v>
      </c>
      <c r="H72" s="5">
        <v>22000</v>
      </c>
      <c r="I72" s="44">
        <v>19000</v>
      </c>
      <c r="J72" s="44">
        <f t="shared" si="33"/>
        <v>3000</v>
      </c>
      <c r="K72" s="6">
        <f t="shared" si="34"/>
        <v>0.15789473684210525</v>
      </c>
      <c r="M72" s="5">
        <v>18956.349999999999</v>
      </c>
      <c r="N72" s="5">
        <v>17416.63</v>
      </c>
      <c r="O72" s="6">
        <f t="shared" si="35"/>
        <v>8.8405162192685807E-2</v>
      </c>
      <c r="P72" s="80" t="s">
        <v>217</v>
      </c>
      <c r="Q72" s="80" t="s">
        <v>180</v>
      </c>
    </row>
    <row r="73" spans="1:17" x14ac:dyDescent="0.25">
      <c r="A73" s="52">
        <v>74</v>
      </c>
      <c r="C73" s="1" t="s">
        <v>43</v>
      </c>
      <c r="H73" s="5">
        <f t="shared" ref="H73:H74" si="36">+I73</f>
        <v>700</v>
      </c>
      <c r="I73" s="44">
        <v>700</v>
      </c>
      <c r="J73" s="44">
        <f t="shared" si="33"/>
        <v>0</v>
      </c>
      <c r="K73" s="6">
        <f t="shared" si="34"/>
        <v>0</v>
      </c>
      <c r="M73" s="5">
        <v>724.07</v>
      </c>
      <c r="N73" s="5">
        <v>641.63</v>
      </c>
      <c r="O73" s="6">
        <f t="shared" si="35"/>
        <v>0.1284852640930132</v>
      </c>
      <c r="P73" s="73"/>
      <c r="Q73" s="80"/>
    </row>
    <row r="74" spans="1:17" x14ac:dyDescent="0.25">
      <c r="A74" s="52">
        <v>75</v>
      </c>
      <c r="C74" s="1" t="s">
        <v>44</v>
      </c>
      <c r="H74" s="5">
        <f t="shared" si="36"/>
        <v>1600</v>
      </c>
      <c r="I74" s="44">
        <v>1600</v>
      </c>
      <c r="J74" s="44">
        <f t="shared" si="33"/>
        <v>0</v>
      </c>
      <c r="K74" s="6">
        <f t="shared" si="34"/>
        <v>0</v>
      </c>
      <c r="M74" s="5">
        <v>1281.24</v>
      </c>
      <c r="N74" s="5">
        <v>1466.63</v>
      </c>
      <c r="O74" s="6">
        <f t="shared" si="35"/>
        <v>-0.12640543286309436</v>
      </c>
      <c r="P74" s="80" t="s">
        <v>204</v>
      </c>
      <c r="Q74" s="80"/>
    </row>
    <row r="75" spans="1:17" s="4" customFormat="1" x14ac:dyDescent="0.25">
      <c r="A75" s="52">
        <v>76</v>
      </c>
      <c r="B75" s="24" t="s">
        <v>46</v>
      </c>
      <c r="C75" s="24"/>
      <c r="D75" s="24"/>
      <c r="E75" s="43"/>
      <c r="F75" s="43"/>
      <c r="G75" s="43"/>
      <c r="H75" s="24">
        <f>SUM(H69:H74)</f>
        <v>33300</v>
      </c>
      <c r="I75" s="24">
        <v>31300</v>
      </c>
      <c r="J75" s="43">
        <f>SUM(J69:J74)</f>
        <v>2000</v>
      </c>
      <c r="K75" s="25">
        <f t="shared" si="34"/>
        <v>6.3897763578274758E-2</v>
      </c>
      <c r="M75" s="43">
        <f>SUM(M69:M74)</f>
        <v>33247.729999999996</v>
      </c>
      <c r="N75" s="43">
        <f>SUM(N69:N74)</f>
        <v>28691.630000000005</v>
      </c>
      <c r="O75" s="25">
        <f t="shared" si="35"/>
        <v>0.1587954396456385</v>
      </c>
      <c r="P75" s="74"/>
      <c r="Q75" s="79"/>
    </row>
    <row r="76" spans="1:17" x14ac:dyDescent="0.25">
      <c r="A76" s="52">
        <v>77</v>
      </c>
      <c r="B76" s="24" t="s">
        <v>108</v>
      </c>
      <c r="C76" s="28"/>
      <c r="D76" s="28"/>
      <c r="E76" s="28"/>
      <c r="F76" s="28"/>
      <c r="G76" s="28"/>
      <c r="H76" s="24">
        <f>+H41+H48+H50+H57+H66+H75+H55</f>
        <v>68931</v>
      </c>
      <c r="I76" s="24">
        <v>57390</v>
      </c>
      <c r="J76" s="43">
        <f>+J41+J48+J50+J57+J66+J75+J55</f>
        <v>11541</v>
      </c>
      <c r="K76" s="25">
        <f t="shared" si="34"/>
        <v>0.20109775222164139</v>
      </c>
      <c r="M76" s="43">
        <f>+M41+M48+M50+M57+M66+M75+M55</f>
        <v>52599.61</v>
      </c>
      <c r="N76" s="43">
        <f>+N41+N48+N50+N57+N66+N75+N55</f>
        <v>52516.5</v>
      </c>
      <c r="O76" s="25">
        <f t="shared" si="35"/>
        <v>1.5825502461131375E-3</v>
      </c>
      <c r="P76" s="73"/>
      <c r="Q76" s="78"/>
    </row>
    <row r="77" spans="1:17" ht="8.25" customHeight="1" x14ac:dyDescent="0.25">
      <c r="A77" s="52">
        <v>78</v>
      </c>
      <c r="K77" s="7"/>
      <c r="P77" s="73"/>
      <c r="Q77" s="78"/>
    </row>
    <row r="78" spans="1:17" ht="18.75" x14ac:dyDescent="0.25">
      <c r="A78" s="52">
        <v>79</v>
      </c>
      <c r="B78" s="10" t="s">
        <v>45</v>
      </c>
      <c r="G78" s="101" t="s">
        <v>125</v>
      </c>
      <c r="K78" s="7"/>
      <c r="P78" s="73"/>
      <c r="Q78" s="78"/>
    </row>
    <row r="79" spans="1:17" x14ac:dyDescent="0.25">
      <c r="A79" s="52">
        <v>80</v>
      </c>
      <c r="B79" s="4" t="s">
        <v>231</v>
      </c>
      <c r="G79" s="101"/>
      <c r="H79" s="41"/>
      <c r="J79" s="41"/>
      <c r="K79" s="7"/>
      <c r="M79" s="41"/>
      <c r="N79" s="41"/>
      <c r="P79" s="78" t="s">
        <v>160</v>
      </c>
      <c r="Q79" s="78" t="s">
        <v>160</v>
      </c>
    </row>
    <row r="80" spans="1:17" x14ac:dyDescent="0.25">
      <c r="A80" s="52">
        <v>81</v>
      </c>
      <c r="C80" s="1" t="s">
        <v>47</v>
      </c>
      <c r="G80" s="72">
        <f>ROUND(+$I80*(1+$E$115),0)</f>
        <v>74971</v>
      </c>
      <c r="H80" s="61">
        <f>42525+30000</f>
        <v>72525</v>
      </c>
      <c r="I80" s="44">
        <v>72787</v>
      </c>
      <c r="J80" s="44">
        <f t="shared" ref="J80:J86" si="37">+H80-I80</f>
        <v>-262</v>
      </c>
      <c r="K80" s="6">
        <f t="shared" ref="K80:K87" si="38">IF(I80=0,"NA",(+H80-I80)/I80)</f>
        <v>-3.5995438745929907E-3</v>
      </c>
      <c r="M80" s="5">
        <f>60027.98+14375</f>
        <v>74402.98000000001</v>
      </c>
      <c r="N80" s="5">
        <v>66721.38</v>
      </c>
      <c r="O80" s="6">
        <f t="shared" ref="O80:O87" si="39">IF(N80=0,"NA",(+M80-N80)/N80)</f>
        <v>0.11512951320850985</v>
      </c>
      <c r="P80" s="80" t="s">
        <v>198</v>
      </c>
      <c r="Q80" s="78" t="s">
        <v>130</v>
      </c>
    </row>
    <row r="81" spans="1:17" x14ac:dyDescent="0.25">
      <c r="A81" s="52">
        <v>82</v>
      </c>
      <c r="C81" s="1" t="s">
        <v>48</v>
      </c>
      <c r="G81" s="72"/>
      <c r="H81" s="61">
        <v>2000</v>
      </c>
      <c r="I81" s="44">
        <v>2000</v>
      </c>
      <c r="J81" s="44">
        <f t="shared" si="37"/>
        <v>0</v>
      </c>
      <c r="K81" s="6">
        <f t="shared" si="38"/>
        <v>0</v>
      </c>
      <c r="M81" s="5">
        <v>780.33</v>
      </c>
      <c r="N81" s="5">
        <v>1833.37</v>
      </c>
      <c r="O81" s="6">
        <f t="shared" si="39"/>
        <v>-0.57437396706611321</v>
      </c>
      <c r="P81" s="80" t="s">
        <v>199</v>
      </c>
      <c r="Q81" s="78"/>
    </row>
    <row r="82" spans="1:17" x14ac:dyDescent="0.25">
      <c r="C82" s="1" t="s">
        <v>169</v>
      </c>
      <c r="G82" s="72"/>
      <c r="H82" s="61">
        <f>5548.16+5500</f>
        <v>11048.16</v>
      </c>
      <c r="I82" s="44">
        <v>0</v>
      </c>
      <c r="J82" s="44">
        <f t="shared" si="37"/>
        <v>11048.16</v>
      </c>
      <c r="K82" s="6" t="str">
        <f t="shared" ref="K82" si="40">IF(I82=0,"NA",(+H82-I82)/I82)</f>
        <v>NA</v>
      </c>
      <c r="M82" s="5">
        <v>5293.91</v>
      </c>
      <c r="N82" s="5">
        <v>0</v>
      </c>
      <c r="O82" s="6" t="str">
        <f t="shared" ref="O82" si="41">IF(N82=0,"NA",(+M82-N82)/N82)</f>
        <v>NA</v>
      </c>
      <c r="P82" s="80" t="s">
        <v>198</v>
      </c>
    </row>
    <row r="83" spans="1:17" ht="45.75" customHeight="1" x14ac:dyDescent="0.25">
      <c r="A83" s="52">
        <v>83</v>
      </c>
      <c r="C83" s="1" t="s">
        <v>49</v>
      </c>
      <c r="G83" s="72"/>
      <c r="H83" s="61">
        <v>26772.720000000001</v>
      </c>
      <c r="I83" s="44">
        <v>28070</v>
      </c>
      <c r="J83" s="44">
        <f t="shared" si="37"/>
        <v>-1297.2799999999988</v>
      </c>
      <c r="K83" s="6">
        <f t="shared" si="38"/>
        <v>-4.6215888849305269E-2</v>
      </c>
      <c r="M83" s="5">
        <v>17680.2</v>
      </c>
      <c r="N83" s="5">
        <v>25730.87</v>
      </c>
      <c r="O83" s="6">
        <f t="shared" si="39"/>
        <v>-0.31287982100877265</v>
      </c>
      <c r="P83" s="80" t="s">
        <v>232</v>
      </c>
      <c r="Q83" s="78" t="s">
        <v>114</v>
      </c>
    </row>
    <row r="84" spans="1:17" ht="46.5" customHeight="1" x14ac:dyDescent="0.25">
      <c r="A84" s="52">
        <v>84</v>
      </c>
      <c r="C84" s="1" t="s">
        <v>50</v>
      </c>
      <c r="G84" s="72"/>
      <c r="H84" s="61">
        <v>0</v>
      </c>
      <c r="I84" s="44">
        <v>3000</v>
      </c>
      <c r="J84" s="44">
        <f t="shared" si="37"/>
        <v>-3000</v>
      </c>
      <c r="K84" s="6">
        <f t="shared" si="38"/>
        <v>-1</v>
      </c>
      <c r="M84" s="5">
        <v>0</v>
      </c>
      <c r="N84" s="5">
        <v>2750</v>
      </c>
      <c r="O84" s="6">
        <f t="shared" si="39"/>
        <v>-1</v>
      </c>
      <c r="P84" s="80" t="s">
        <v>233</v>
      </c>
      <c r="Q84" s="78" t="s">
        <v>131</v>
      </c>
    </row>
    <row r="85" spans="1:17" x14ac:dyDescent="0.25">
      <c r="C85" s="1" t="s">
        <v>200</v>
      </c>
      <c r="G85" s="72"/>
      <c r="H85" s="61">
        <v>1200</v>
      </c>
      <c r="I85" s="44">
        <v>0</v>
      </c>
      <c r="J85" s="44">
        <f t="shared" si="37"/>
        <v>1200</v>
      </c>
      <c r="K85" s="6" t="str">
        <f t="shared" ref="K85" si="42">IF(I85=0,"NA",(+H85-I85)/I85)</f>
        <v>NA</v>
      </c>
      <c r="M85" s="5">
        <v>110.87</v>
      </c>
      <c r="N85" s="5">
        <v>0</v>
      </c>
      <c r="O85" s="6" t="str">
        <f t="shared" ref="O85" si="43">IF(N85=0,"NA",(+M85-N85)/N85)</f>
        <v>NA</v>
      </c>
      <c r="P85" s="80" t="s">
        <v>198</v>
      </c>
      <c r="Q85" s="78"/>
    </row>
    <row r="86" spans="1:17" x14ac:dyDescent="0.25">
      <c r="A86" s="52">
        <v>85</v>
      </c>
      <c r="C86" s="1" t="s">
        <v>51</v>
      </c>
      <c r="G86" s="72"/>
      <c r="H86" s="61">
        <v>1200</v>
      </c>
      <c r="I86" s="44">
        <v>1500</v>
      </c>
      <c r="J86" s="44">
        <f t="shared" si="37"/>
        <v>-300</v>
      </c>
      <c r="K86" s="6">
        <f t="shared" si="38"/>
        <v>-0.2</v>
      </c>
      <c r="M86" s="5">
        <v>823.37</v>
      </c>
      <c r="N86" s="5">
        <v>1375</v>
      </c>
      <c r="O86" s="6">
        <f t="shared" si="39"/>
        <v>-0.40118545454545457</v>
      </c>
      <c r="P86" s="80" t="s">
        <v>242</v>
      </c>
      <c r="Q86" s="78"/>
    </row>
    <row r="87" spans="1:17" s="4" customFormat="1" x14ac:dyDescent="0.25">
      <c r="A87" s="52">
        <v>86</v>
      </c>
      <c r="B87" s="29" t="s">
        <v>158</v>
      </c>
      <c r="C87" s="29"/>
      <c r="D87" s="29"/>
      <c r="E87" s="29"/>
      <c r="F87" s="29"/>
      <c r="G87" s="29"/>
      <c r="H87" s="29">
        <f>SUM(H80:H86)</f>
        <v>114745.88</v>
      </c>
      <c r="I87" s="29">
        <v>107357</v>
      </c>
      <c r="J87" s="29">
        <f>SUM(J80:J86)</f>
        <v>7388.880000000001</v>
      </c>
      <c r="K87" s="30">
        <f t="shared" si="38"/>
        <v>6.8825321124845185E-2</v>
      </c>
      <c r="M87" s="29">
        <f>SUM(M80:M86)</f>
        <v>99091.66</v>
      </c>
      <c r="N87" s="29">
        <f>SUM(N80:N86)</f>
        <v>98410.62</v>
      </c>
      <c r="O87" s="30">
        <f t="shared" si="39"/>
        <v>6.9203913154902204E-3</v>
      </c>
      <c r="P87" s="74"/>
      <c r="Q87" s="78"/>
    </row>
    <row r="88" spans="1:17" ht="6.75" customHeight="1" x14ac:dyDescent="0.25">
      <c r="A88" s="52">
        <v>87</v>
      </c>
      <c r="K88" s="7"/>
      <c r="P88" s="73"/>
      <c r="Q88" s="79"/>
    </row>
    <row r="89" spans="1:17" x14ac:dyDescent="0.25">
      <c r="A89" s="52">
        <v>88</v>
      </c>
      <c r="B89" s="4" t="s">
        <v>218</v>
      </c>
      <c r="K89" s="7"/>
      <c r="P89" s="73"/>
      <c r="Q89" s="78"/>
    </row>
    <row r="90" spans="1:17" x14ac:dyDescent="0.25">
      <c r="A90" s="52">
        <v>89</v>
      </c>
      <c r="C90" s="1" t="s">
        <v>52</v>
      </c>
      <c r="F90" s="63"/>
      <c r="G90" s="72">
        <f>ROUND(+$I90*(1+$E$115),0)</f>
        <v>0</v>
      </c>
      <c r="H90" s="5">
        <v>15000</v>
      </c>
      <c r="I90" s="44">
        <v>0</v>
      </c>
      <c r="J90" s="44">
        <f t="shared" ref="J90:J91" si="44">+H90-I90</f>
        <v>15000</v>
      </c>
      <c r="K90" s="6" t="str">
        <f t="shared" ref="K90:K92" si="45">IF(I90=0,"NA",(+H90-I90)/I90)</f>
        <v>NA</v>
      </c>
      <c r="M90" s="5">
        <v>625</v>
      </c>
      <c r="N90" s="5">
        <v>0</v>
      </c>
      <c r="O90" s="6" t="str">
        <f>IF(N90=0,"NA",(+M90-N90)/N90)</f>
        <v>NA</v>
      </c>
      <c r="P90" s="78"/>
      <c r="Q90" s="78" t="s">
        <v>181</v>
      </c>
    </row>
    <row r="91" spans="1:17" x14ac:dyDescent="0.25">
      <c r="A91" s="52">
        <v>90</v>
      </c>
      <c r="C91" s="1" t="s">
        <v>53</v>
      </c>
      <c r="H91" s="5">
        <v>200</v>
      </c>
      <c r="I91" s="44">
        <v>0</v>
      </c>
      <c r="J91" s="44">
        <f t="shared" si="44"/>
        <v>200</v>
      </c>
      <c r="K91" s="6" t="str">
        <f t="shared" si="45"/>
        <v>NA</v>
      </c>
      <c r="M91" s="5">
        <v>0</v>
      </c>
      <c r="N91" s="5">
        <v>0</v>
      </c>
      <c r="O91" s="6" t="str">
        <f>IF(N91=0,"NA",(+M91-N91)/N91)</f>
        <v>NA</v>
      </c>
      <c r="P91" s="73"/>
      <c r="Q91" s="78" t="s">
        <v>129</v>
      </c>
    </row>
    <row r="92" spans="1:17" s="4" customFormat="1" x14ac:dyDescent="0.25">
      <c r="A92" s="52">
        <v>91</v>
      </c>
      <c r="B92" s="29" t="s">
        <v>244</v>
      </c>
      <c r="C92" s="29"/>
      <c r="D92" s="29"/>
      <c r="E92" s="29"/>
      <c r="F92" s="29"/>
      <c r="G92" s="29"/>
      <c r="H92" s="29">
        <f>SUM(H90:H91)</f>
        <v>15200</v>
      </c>
      <c r="I92" s="29">
        <v>0</v>
      </c>
      <c r="J92" s="29">
        <f>SUM(J90:J91)</f>
        <v>15200</v>
      </c>
      <c r="K92" s="30" t="str">
        <f t="shared" si="45"/>
        <v>NA</v>
      </c>
      <c r="M92" s="29">
        <f>SUM(M90:M91)</f>
        <v>625</v>
      </c>
      <c r="N92" s="29">
        <f>SUM(N90:N91)</f>
        <v>0</v>
      </c>
      <c r="O92" s="30" t="str">
        <f>IF(N92=0,"NA",(+M92-N92)/N92)</f>
        <v>NA</v>
      </c>
      <c r="P92" s="74"/>
      <c r="Q92" s="78"/>
    </row>
    <row r="93" spans="1:17" ht="4.5" customHeight="1" x14ac:dyDescent="0.25">
      <c r="A93" s="52">
        <v>92</v>
      </c>
      <c r="K93" s="7"/>
      <c r="P93" s="73"/>
      <c r="Q93" s="79"/>
    </row>
    <row r="94" spans="1:17" x14ac:dyDescent="0.25">
      <c r="A94" s="52">
        <v>88</v>
      </c>
      <c r="B94" s="4" t="s">
        <v>243</v>
      </c>
      <c r="K94" s="46"/>
      <c r="O94" s="46"/>
      <c r="P94" s="73"/>
      <c r="Q94" s="78"/>
    </row>
    <row r="95" spans="1:17" x14ac:dyDescent="0.25">
      <c r="A95" s="52">
        <v>89</v>
      </c>
      <c r="C95" s="1" t="s">
        <v>52</v>
      </c>
      <c r="F95" s="63"/>
      <c r="G95" s="72">
        <f>ROUND(+$I95*(1+$E$115),0)</f>
        <v>12089</v>
      </c>
      <c r="H95" s="5">
        <v>0</v>
      </c>
      <c r="I95" s="44">
        <v>11737</v>
      </c>
      <c r="J95" s="44">
        <f t="shared" ref="J95:J96" si="46">+H95-I95</f>
        <v>-11737</v>
      </c>
      <c r="K95" s="6">
        <f t="shared" ref="K95:K97" si="47">IF(I95=0,"NA",(+H95-I95)/I95)</f>
        <v>-1</v>
      </c>
      <c r="M95" s="5">
        <v>9847.24</v>
      </c>
      <c r="N95" s="5">
        <v>10758.88</v>
      </c>
      <c r="O95" s="6">
        <f>IF(N95=0,"NA",(+M95-N95)/N95)</f>
        <v>-8.4733726930684192E-2</v>
      </c>
      <c r="P95" s="78"/>
      <c r="Q95" s="78" t="s">
        <v>181</v>
      </c>
    </row>
    <row r="96" spans="1:17" x14ac:dyDescent="0.25">
      <c r="A96" s="52">
        <v>90</v>
      </c>
      <c r="C96" s="1" t="s">
        <v>53</v>
      </c>
      <c r="H96" s="5">
        <v>0</v>
      </c>
      <c r="I96" s="44">
        <v>1500</v>
      </c>
      <c r="J96" s="44">
        <f t="shared" si="46"/>
        <v>-1500</v>
      </c>
      <c r="K96" s="6">
        <f t="shared" si="47"/>
        <v>-1</v>
      </c>
      <c r="M96" s="5">
        <v>1256.27</v>
      </c>
      <c r="N96" s="5">
        <v>1375</v>
      </c>
      <c r="O96" s="6">
        <f>IF(N96=0,"NA",(+M96-N96)/N96)</f>
        <v>-8.6349090909090917E-2</v>
      </c>
      <c r="P96" s="73"/>
      <c r="Q96" s="78" t="s">
        <v>129</v>
      </c>
    </row>
    <row r="97" spans="1:17" s="4" customFormat="1" x14ac:dyDescent="0.25">
      <c r="A97" s="52">
        <v>91</v>
      </c>
      <c r="B97" s="29" t="s">
        <v>54</v>
      </c>
      <c r="C97" s="29"/>
      <c r="D97" s="29"/>
      <c r="E97" s="29"/>
      <c r="F97" s="29"/>
      <c r="G97" s="29"/>
      <c r="H97" s="29">
        <f>SUM(H95:H96)</f>
        <v>0</v>
      </c>
      <c r="I97" s="29">
        <v>13237</v>
      </c>
      <c r="J97" s="29">
        <f>SUM(J95:J96)</f>
        <v>-13237</v>
      </c>
      <c r="K97" s="30">
        <f t="shared" si="47"/>
        <v>-1</v>
      </c>
      <c r="M97" s="29">
        <f>SUM(M95:M96)</f>
        <v>11103.51</v>
      </c>
      <c r="N97" s="29">
        <f>SUM(N95:N96)</f>
        <v>12133.88</v>
      </c>
      <c r="O97" s="30">
        <f>IF(N97=0,"NA",(+M97-N97)/N97)</f>
        <v>-8.4916778474815893E-2</v>
      </c>
      <c r="P97" s="74"/>
      <c r="Q97" s="78"/>
    </row>
    <row r="98" spans="1:17" ht="4.5" customHeight="1" x14ac:dyDescent="0.25">
      <c r="K98" s="46"/>
      <c r="O98" s="46"/>
      <c r="P98" s="73"/>
      <c r="Q98" s="79"/>
    </row>
    <row r="99" spans="1:17" x14ac:dyDescent="0.25">
      <c r="A99" s="52">
        <v>93</v>
      </c>
      <c r="B99" s="4" t="s">
        <v>224</v>
      </c>
      <c r="K99" s="7"/>
      <c r="P99" s="73"/>
      <c r="Q99" s="78"/>
    </row>
    <row r="100" spans="1:17" x14ac:dyDescent="0.25">
      <c r="A100" s="52">
        <v>94</v>
      </c>
      <c r="C100" s="1" t="s">
        <v>52</v>
      </c>
      <c r="E100" s="64"/>
      <c r="F100" s="49"/>
      <c r="G100" s="72">
        <f>ROUND(+$I100*(1+$E$115),0)</f>
        <v>14631</v>
      </c>
      <c r="H100" s="39">
        <f>+G100</f>
        <v>14631</v>
      </c>
      <c r="I100" s="44">
        <v>14205</v>
      </c>
      <c r="J100" s="44">
        <f t="shared" ref="J100:J101" si="48">+H100-I100</f>
        <v>426</v>
      </c>
      <c r="K100" s="6">
        <f t="shared" ref="K100:K102" si="49">IF(I100=0,"NA",(+H100-I100)/I100)</f>
        <v>2.9989440337909186E-2</v>
      </c>
      <c r="M100" s="5">
        <v>13021.36</v>
      </c>
      <c r="N100" s="5">
        <v>13021.25</v>
      </c>
      <c r="O100" s="6">
        <f>IF(N100=0,"NA",(+M100-N100)/N100)</f>
        <v>8.4477296726951774E-6</v>
      </c>
      <c r="P100" s="78" t="s">
        <v>171</v>
      </c>
      <c r="Q100" s="78" t="s">
        <v>181</v>
      </c>
    </row>
    <row r="101" spans="1:17" ht="45" x14ac:dyDescent="0.25">
      <c r="A101" s="52">
        <v>95</v>
      </c>
      <c r="C101" s="1" t="s">
        <v>55</v>
      </c>
      <c r="E101" s="1" t="s">
        <v>220</v>
      </c>
      <c r="H101" s="5">
        <v>1000</v>
      </c>
      <c r="I101" s="44">
        <v>750</v>
      </c>
      <c r="J101" s="44">
        <f t="shared" si="48"/>
        <v>250</v>
      </c>
      <c r="K101" s="6">
        <f t="shared" si="49"/>
        <v>0.33333333333333331</v>
      </c>
      <c r="M101" s="5">
        <v>235.63</v>
      </c>
      <c r="N101" s="5">
        <v>687.5</v>
      </c>
      <c r="O101" s="6">
        <f>IF(N101=0,"NA",(+M101-N101)/N101)</f>
        <v>-0.6572654545454546</v>
      </c>
      <c r="P101" s="80" t="s">
        <v>219</v>
      </c>
      <c r="Q101" s="78" t="s">
        <v>179</v>
      </c>
    </row>
    <row r="102" spans="1:17" s="4" customFormat="1" x14ac:dyDescent="0.25">
      <c r="A102" s="52">
        <v>96</v>
      </c>
      <c r="B102" s="29" t="s">
        <v>56</v>
      </c>
      <c r="C102" s="29"/>
      <c r="D102" s="29"/>
      <c r="E102" s="29"/>
      <c r="F102" s="29"/>
      <c r="G102" s="29"/>
      <c r="H102" s="29">
        <f>SUM(H100:H101)</f>
        <v>15631</v>
      </c>
      <c r="I102" s="29">
        <v>14955</v>
      </c>
      <c r="J102" s="29">
        <f>SUM(J100:J101)</f>
        <v>676</v>
      </c>
      <c r="K102" s="30">
        <f t="shared" si="49"/>
        <v>4.5202273487128047E-2</v>
      </c>
      <c r="M102" s="29">
        <f>SUM(M100:M101)</f>
        <v>13256.99</v>
      </c>
      <c r="N102" s="29">
        <f>SUM(N100:N101)</f>
        <v>13708.75</v>
      </c>
      <c r="O102" s="30">
        <f>IF(N102=0,"NA",(+M102-N102)/N102)</f>
        <v>-3.2954135132670759E-2</v>
      </c>
      <c r="P102" s="74"/>
      <c r="Q102" s="78"/>
    </row>
    <row r="103" spans="1:17" ht="6" customHeight="1" x14ac:dyDescent="0.25">
      <c r="A103" s="52">
        <v>97</v>
      </c>
      <c r="K103" s="7"/>
      <c r="P103" s="73"/>
      <c r="Q103" s="79"/>
    </row>
    <row r="104" spans="1:17" x14ac:dyDescent="0.25">
      <c r="A104" s="52">
        <v>98</v>
      </c>
      <c r="B104" s="4" t="s">
        <v>57</v>
      </c>
      <c r="K104" s="7"/>
      <c r="P104" s="73"/>
      <c r="Q104" s="78"/>
    </row>
    <row r="105" spans="1:17" x14ac:dyDescent="0.25">
      <c r="A105" s="52">
        <v>99</v>
      </c>
      <c r="C105" s="1" t="s">
        <v>52</v>
      </c>
      <c r="G105" s="72">
        <f>ROUND(+$I105*(1+$E$115),0)</f>
        <v>38239</v>
      </c>
      <c r="H105" s="68">
        <f>+G105</f>
        <v>38239</v>
      </c>
      <c r="I105" s="44">
        <v>37125</v>
      </c>
      <c r="J105" s="44">
        <f t="shared" ref="J105:J111" si="50">+H105-I105</f>
        <v>1114</v>
      </c>
      <c r="K105" s="6">
        <f t="shared" ref="K105:K112" si="51">IF(I105=0,"NA",(+H105-I105)/I105)</f>
        <v>3.0006734006734006E-2</v>
      </c>
      <c r="M105" s="5">
        <v>34031.360000000001</v>
      </c>
      <c r="N105" s="5">
        <v>34031.25</v>
      </c>
      <c r="O105" s="6">
        <f t="shared" ref="O105:O112" si="52">IF(N105=0,"NA",(+M105-N105)/N105)</f>
        <v>3.2323232323403365E-6</v>
      </c>
      <c r="P105" s="78" t="s">
        <v>171</v>
      </c>
      <c r="Q105" s="78" t="s">
        <v>181</v>
      </c>
    </row>
    <row r="106" spans="1:17" ht="60" x14ac:dyDescent="0.25">
      <c r="A106" s="52">
        <v>100</v>
      </c>
      <c r="C106" s="1" t="s">
        <v>49</v>
      </c>
      <c r="H106" s="5">
        <v>5754.38</v>
      </c>
      <c r="I106" s="44">
        <v>5569</v>
      </c>
      <c r="J106" s="44">
        <f t="shared" si="50"/>
        <v>185.38000000000011</v>
      </c>
      <c r="K106" s="6">
        <f t="shared" si="51"/>
        <v>3.3287843418926218E-2</v>
      </c>
      <c r="M106" s="5">
        <v>5104.66</v>
      </c>
      <c r="N106" s="5">
        <v>5104.88</v>
      </c>
      <c r="O106" s="6">
        <f t="shared" si="52"/>
        <v>-4.3096017927993341E-5</v>
      </c>
      <c r="P106" s="80" t="s">
        <v>234</v>
      </c>
      <c r="Q106" s="78" t="s">
        <v>114</v>
      </c>
    </row>
    <row r="107" spans="1:17" x14ac:dyDescent="0.25">
      <c r="A107" s="52">
        <v>101</v>
      </c>
      <c r="C107" s="1" t="s">
        <v>51</v>
      </c>
      <c r="H107" s="5">
        <v>750</v>
      </c>
      <c r="I107" s="44">
        <v>750</v>
      </c>
      <c r="J107" s="44">
        <f t="shared" si="50"/>
        <v>0</v>
      </c>
      <c r="K107" s="6">
        <f t="shared" si="51"/>
        <v>0</v>
      </c>
      <c r="M107" s="5">
        <v>413.95</v>
      </c>
      <c r="N107" s="5">
        <v>687.5</v>
      </c>
      <c r="O107" s="6">
        <f t="shared" si="52"/>
        <v>-0.39789090909090913</v>
      </c>
      <c r="P107" s="78" t="s">
        <v>165</v>
      </c>
      <c r="Q107" s="78" t="s">
        <v>179</v>
      </c>
    </row>
    <row r="108" spans="1:17" ht="45" x14ac:dyDescent="0.25">
      <c r="A108" s="52">
        <v>102</v>
      </c>
      <c r="C108" s="1" t="s">
        <v>50</v>
      </c>
      <c r="H108" s="5">
        <v>3298</v>
      </c>
      <c r="I108" s="44">
        <v>3298</v>
      </c>
      <c r="J108" s="44">
        <f t="shared" si="50"/>
        <v>0</v>
      </c>
      <c r="K108" s="6">
        <f t="shared" si="51"/>
        <v>0</v>
      </c>
      <c r="M108" s="5">
        <v>2860.1</v>
      </c>
      <c r="N108" s="5">
        <v>3023.13</v>
      </c>
      <c r="O108" s="6">
        <f t="shared" si="52"/>
        <v>-5.3927551908121776E-2</v>
      </c>
      <c r="P108" s="80" t="s">
        <v>235</v>
      </c>
      <c r="Q108" s="78" t="s">
        <v>131</v>
      </c>
    </row>
    <row r="109" spans="1:17" x14ac:dyDescent="0.25">
      <c r="A109" s="52">
        <v>103</v>
      </c>
      <c r="C109" s="1" t="s">
        <v>53</v>
      </c>
      <c r="H109" s="5">
        <v>2000</v>
      </c>
      <c r="I109" s="44">
        <v>1500</v>
      </c>
      <c r="J109" s="44">
        <f t="shared" si="50"/>
        <v>500</v>
      </c>
      <c r="K109" s="6">
        <f t="shared" si="51"/>
        <v>0.33333333333333331</v>
      </c>
      <c r="M109" s="5">
        <v>1263.69</v>
      </c>
      <c r="N109" s="5">
        <v>1375</v>
      </c>
      <c r="O109" s="6">
        <f t="shared" si="52"/>
        <v>-8.0952727272727232E-2</v>
      </c>
      <c r="P109" s="78" t="s">
        <v>191</v>
      </c>
      <c r="Q109" s="78" t="s">
        <v>179</v>
      </c>
    </row>
    <row r="110" spans="1:17" x14ac:dyDescent="0.25">
      <c r="C110" s="1" t="s">
        <v>200</v>
      </c>
      <c r="H110" s="5">
        <v>400</v>
      </c>
      <c r="I110" s="44">
        <v>0</v>
      </c>
      <c r="J110" s="44">
        <f t="shared" ref="J110" si="53">+H110-I110</f>
        <v>400</v>
      </c>
      <c r="K110" s="6" t="str">
        <f t="shared" ref="K110" si="54">IF(I110=0,"NA",(+H110-I110)/I110)</f>
        <v>NA</v>
      </c>
      <c r="M110" s="5">
        <v>0</v>
      </c>
      <c r="N110" s="5">
        <v>0</v>
      </c>
      <c r="O110" s="6" t="str">
        <f t="shared" ref="O110" si="55">IF(N110=0,"NA",(+M110-N110)/N110)</f>
        <v>NA</v>
      </c>
      <c r="P110" s="78"/>
      <c r="Q110" s="78"/>
    </row>
    <row r="111" spans="1:17" x14ac:dyDescent="0.25">
      <c r="A111" s="52">
        <v>104</v>
      </c>
      <c r="C111" s="1" t="s">
        <v>58</v>
      </c>
      <c r="H111" s="5">
        <v>0</v>
      </c>
      <c r="I111" s="44">
        <v>0</v>
      </c>
      <c r="J111" s="44">
        <f t="shared" si="50"/>
        <v>0</v>
      </c>
      <c r="K111" s="6" t="str">
        <f t="shared" si="51"/>
        <v>NA</v>
      </c>
      <c r="M111" s="5">
        <v>0</v>
      </c>
      <c r="N111" s="5">
        <v>0</v>
      </c>
      <c r="O111" s="6" t="str">
        <f t="shared" si="52"/>
        <v>NA</v>
      </c>
      <c r="P111" s="73"/>
      <c r="Q111" s="78" t="s">
        <v>132</v>
      </c>
    </row>
    <row r="112" spans="1:17" s="4" customFormat="1" x14ac:dyDescent="0.25">
      <c r="A112" s="52">
        <v>105</v>
      </c>
      <c r="B112" s="29" t="s">
        <v>59</v>
      </c>
      <c r="C112" s="29"/>
      <c r="D112" s="29"/>
      <c r="E112" s="29"/>
      <c r="F112" s="29"/>
      <c r="G112" s="29"/>
      <c r="H112" s="29">
        <f>SUM(H105:H111)</f>
        <v>50441.38</v>
      </c>
      <c r="I112" s="29">
        <v>48242</v>
      </c>
      <c r="J112" s="29">
        <f>SUM(J105:J111)</f>
        <v>2199.38</v>
      </c>
      <c r="K112" s="30">
        <f t="shared" si="51"/>
        <v>4.5590564238630185E-2</v>
      </c>
      <c r="M112" s="29">
        <f>SUM(M105:M111)</f>
        <v>43673.760000000002</v>
      </c>
      <c r="N112" s="29">
        <f>SUM(N105:N111)</f>
        <v>44221.759999999995</v>
      </c>
      <c r="O112" s="30">
        <f t="shared" si="52"/>
        <v>-1.2392089324350564E-2</v>
      </c>
      <c r="P112" s="74"/>
      <c r="Q112" s="78"/>
    </row>
    <row r="113" spans="1:18" ht="6" customHeight="1" x14ac:dyDescent="0.25">
      <c r="A113" s="52">
        <v>106</v>
      </c>
      <c r="K113" s="7"/>
      <c r="P113" s="73"/>
      <c r="Q113" s="79"/>
    </row>
    <row r="114" spans="1:18" x14ac:dyDescent="0.25">
      <c r="A114" s="52">
        <v>107</v>
      </c>
      <c r="B114" s="4" t="s">
        <v>60</v>
      </c>
      <c r="K114" s="7"/>
      <c r="P114" s="73"/>
      <c r="Q114" s="78"/>
    </row>
    <row r="115" spans="1:18" x14ac:dyDescent="0.25">
      <c r="A115" s="52">
        <v>108</v>
      </c>
      <c r="C115" s="1" t="s">
        <v>222</v>
      </c>
      <c r="E115" s="71">
        <v>0.03</v>
      </c>
      <c r="F115" s="70" t="s">
        <v>153</v>
      </c>
      <c r="G115" s="72">
        <f>ROUND(+$I115*(1+$E$116),0)</f>
        <v>10065</v>
      </c>
      <c r="H115" s="5">
        <v>15000</v>
      </c>
      <c r="I115" s="44">
        <v>9772</v>
      </c>
      <c r="J115" s="44">
        <f t="shared" ref="J115:J121" si="56">+H115-I115</f>
        <v>5228</v>
      </c>
      <c r="K115" s="6">
        <f t="shared" ref="K115:K122" si="57">IF(I115=0,"NA",(+H115-I115)/I115)</f>
        <v>0.53499795333606226</v>
      </c>
      <c r="M115" s="5">
        <v>9231.75</v>
      </c>
      <c r="N115" s="5">
        <v>8957.6299999999992</v>
      </c>
      <c r="O115" s="6">
        <f t="shared" ref="O115:O122" si="58">IF(N115=0,"NA",(+M115-N115)/N115)</f>
        <v>3.0601844461090804E-2</v>
      </c>
      <c r="P115" s="78" t="s">
        <v>221</v>
      </c>
      <c r="Q115" s="78" t="s">
        <v>181</v>
      </c>
    </row>
    <row r="116" spans="1:18" x14ac:dyDescent="0.25">
      <c r="A116" s="52">
        <v>109</v>
      </c>
      <c r="C116" s="1" t="s">
        <v>61</v>
      </c>
      <c r="E116" s="71">
        <v>0.03</v>
      </c>
      <c r="F116" s="70" t="s">
        <v>154</v>
      </c>
      <c r="G116" s="72"/>
      <c r="H116" s="5">
        <v>500</v>
      </c>
      <c r="I116" s="44">
        <v>500</v>
      </c>
      <c r="J116" s="44">
        <f t="shared" si="56"/>
        <v>0</v>
      </c>
      <c r="K116" s="6">
        <f t="shared" si="57"/>
        <v>0</v>
      </c>
      <c r="M116" s="5">
        <v>300</v>
      </c>
      <c r="N116" s="5">
        <v>458.37</v>
      </c>
      <c r="O116" s="6">
        <f t="shared" si="58"/>
        <v>-0.3455069049021533</v>
      </c>
      <c r="P116" s="78" t="s">
        <v>165</v>
      </c>
      <c r="Q116" s="78" t="s">
        <v>179</v>
      </c>
    </row>
    <row r="117" spans="1:18" ht="30" x14ac:dyDescent="0.25">
      <c r="A117" s="52">
        <v>110</v>
      </c>
      <c r="C117" s="1" t="s">
        <v>62</v>
      </c>
      <c r="G117" s="72">
        <f>ROUND(+$I117*(1+$E$116),0)</f>
        <v>19070</v>
      </c>
      <c r="H117" s="44">
        <f>+G117</f>
        <v>19070</v>
      </c>
      <c r="I117" s="44">
        <v>18515</v>
      </c>
      <c r="J117" s="44">
        <f t="shared" si="56"/>
        <v>555</v>
      </c>
      <c r="K117" s="6">
        <f t="shared" si="57"/>
        <v>2.9975695382122605E-2</v>
      </c>
      <c r="M117" s="5">
        <v>17336.189999999999</v>
      </c>
      <c r="N117" s="5">
        <v>16972.12</v>
      </c>
      <c r="O117" s="6">
        <f t="shared" si="58"/>
        <v>2.1451062094776593E-2</v>
      </c>
      <c r="P117" s="78" t="s">
        <v>202</v>
      </c>
      <c r="Q117" s="78" t="s">
        <v>181</v>
      </c>
    </row>
    <row r="118" spans="1:18" x14ac:dyDescent="0.25">
      <c r="A118" s="52">
        <v>111</v>
      </c>
      <c r="C118" s="1" t="s">
        <v>63</v>
      </c>
      <c r="G118" s="72">
        <f>ROUND(+$I118*(1+$E$116),0)</f>
        <v>7052</v>
      </c>
      <c r="H118" s="39">
        <f>+G118</f>
        <v>7052</v>
      </c>
      <c r="I118" s="44">
        <v>6847</v>
      </c>
      <c r="J118" s="44">
        <f t="shared" si="56"/>
        <v>205</v>
      </c>
      <c r="K118" s="6">
        <f t="shared" si="57"/>
        <v>2.9940119760479042E-2</v>
      </c>
      <c r="M118" s="5">
        <v>6162.3</v>
      </c>
      <c r="N118" s="5">
        <v>6276.38</v>
      </c>
      <c r="O118" s="6">
        <f t="shared" si="58"/>
        <v>-1.8176082391442187E-2</v>
      </c>
      <c r="P118" s="78" t="s">
        <v>171</v>
      </c>
      <c r="Q118" s="78" t="s">
        <v>181</v>
      </c>
    </row>
    <row r="119" spans="1:18" x14ac:dyDescent="0.25">
      <c r="A119" s="52">
        <v>112</v>
      </c>
      <c r="C119" s="1" t="s">
        <v>64</v>
      </c>
      <c r="G119" s="72">
        <f>ROUND(+$I119*(1+$E$116),0)</f>
        <v>1784</v>
      </c>
      <c r="H119" s="5">
        <v>1750</v>
      </c>
      <c r="I119" s="44">
        <v>1732</v>
      </c>
      <c r="J119" s="44">
        <f t="shared" si="56"/>
        <v>18</v>
      </c>
      <c r="K119" s="6">
        <f t="shared" si="57"/>
        <v>1.0392609699769052E-2</v>
      </c>
      <c r="M119" s="5">
        <v>1587.63</v>
      </c>
      <c r="N119" s="5">
        <v>1587.63</v>
      </c>
      <c r="O119" s="6">
        <f t="shared" si="58"/>
        <v>0</v>
      </c>
      <c r="P119" s="78" t="s">
        <v>192</v>
      </c>
      <c r="Q119" s="78" t="s">
        <v>181</v>
      </c>
    </row>
    <row r="120" spans="1:18" x14ac:dyDescent="0.25">
      <c r="C120" s="1" t="s">
        <v>172</v>
      </c>
      <c r="H120" s="5">
        <v>1200</v>
      </c>
      <c r="I120" s="44">
        <v>0</v>
      </c>
      <c r="J120" s="44">
        <f t="shared" si="56"/>
        <v>1200</v>
      </c>
      <c r="K120" s="6" t="str">
        <f t="shared" ref="K120" si="59">IF(I120=0,"NA",(+H120-I120)/I120)</f>
        <v>NA</v>
      </c>
      <c r="M120" s="5">
        <v>0</v>
      </c>
      <c r="N120" s="5">
        <v>0</v>
      </c>
      <c r="O120" s="6" t="str">
        <f t="shared" ref="O120" si="60">IF(N120=0,"NA",(+M120-N120)/N120)</f>
        <v>NA</v>
      </c>
      <c r="P120" s="78" t="s">
        <v>193</v>
      </c>
    </row>
    <row r="121" spans="1:18" ht="60" x14ac:dyDescent="0.25">
      <c r="A121" s="52">
        <v>113</v>
      </c>
      <c r="C121" s="1" t="s">
        <v>237</v>
      </c>
      <c r="H121" s="5">
        <f>50*52</f>
        <v>2600</v>
      </c>
      <c r="I121" s="44">
        <v>2400</v>
      </c>
      <c r="J121" s="44">
        <f t="shared" si="56"/>
        <v>200</v>
      </c>
      <c r="K121" s="6">
        <f t="shared" si="57"/>
        <v>8.3333333333333329E-2</v>
      </c>
      <c r="M121" s="5">
        <v>1000</v>
      </c>
      <c r="N121" s="5">
        <v>2200</v>
      </c>
      <c r="O121" s="6">
        <f t="shared" si="58"/>
        <v>-0.54545454545454541</v>
      </c>
      <c r="P121" s="80" t="s">
        <v>226</v>
      </c>
      <c r="Q121" s="78" t="s">
        <v>182</v>
      </c>
    </row>
    <row r="122" spans="1:18" s="4" customFormat="1" x14ac:dyDescent="0.25">
      <c r="A122" s="52">
        <v>114</v>
      </c>
      <c r="B122" s="29" t="s">
        <v>65</v>
      </c>
      <c r="C122" s="29"/>
      <c r="D122" s="29"/>
      <c r="E122" s="29"/>
      <c r="F122" s="29"/>
      <c r="G122" s="29"/>
      <c r="H122" s="29">
        <f>SUM(H115:H121)</f>
        <v>47172</v>
      </c>
      <c r="I122" s="29">
        <v>39766</v>
      </c>
      <c r="J122" s="29">
        <f>SUM(J115:J121)</f>
        <v>7406</v>
      </c>
      <c r="K122" s="30">
        <f t="shared" si="57"/>
        <v>0.18623950108132575</v>
      </c>
      <c r="M122" s="29">
        <f>SUM(M115:M121)</f>
        <v>35617.869999999995</v>
      </c>
      <c r="N122" s="29">
        <f>SUM(N115:N121)</f>
        <v>36452.129999999997</v>
      </c>
      <c r="O122" s="30">
        <f t="shared" si="58"/>
        <v>-2.2886454097469807E-2</v>
      </c>
      <c r="P122" s="74"/>
      <c r="Q122" s="78"/>
    </row>
    <row r="123" spans="1:18" ht="6.75" customHeight="1" x14ac:dyDescent="0.25">
      <c r="A123" s="52">
        <v>115</v>
      </c>
      <c r="K123" s="7"/>
      <c r="P123" s="73"/>
      <c r="Q123" s="80"/>
    </row>
    <row r="124" spans="1:18" ht="14.25" customHeight="1" x14ac:dyDescent="0.25">
      <c r="A124" s="52">
        <v>116</v>
      </c>
      <c r="B124" s="4" t="s">
        <v>66</v>
      </c>
      <c r="G124" s="31"/>
      <c r="H124" s="31"/>
      <c r="J124" s="31"/>
      <c r="K124" s="7"/>
      <c r="P124" s="73"/>
      <c r="Q124" s="79"/>
      <c r="R124" s="46"/>
    </row>
    <row r="125" spans="1:18" ht="45" x14ac:dyDescent="0.25">
      <c r="A125" s="52">
        <v>117</v>
      </c>
      <c r="C125" s="1" t="s">
        <v>119</v>
      </c>
      <c r="F125" s="76"/>
      <c r="G125" s="72">
        <f>ROUND((17*52*14.42)*(1),2)</f>
        <v>12747.28</v>
      </c>
      <c r="H125" s="44">
        <f>+G125</f>
        <v>12747.28</v>
      </c>
      <c r="I125" s="44">
        <v>12623</v>
      </c>
      <c r="J125" s="44">
        <f t="shared" ref="J125:J134" si="61">+H125-I125</f>
        <v>124.28000000000065</v>
      </c>
      <c r="K125" s="6">
        <f t="shared" ref="K125:K136" si="62">IF(I125=0,"NA",(+H125-I125)/I125)</f>
        <v>9.8455200823893418E-3</v>
      </c>
      <c r="M125" s="5">
        <v>10133.129999999999</v>
      </c>
      <c r="N125" s="5">
        <v>11571.12</v>
      </c>
      <c r="O125" s="6">
        <f t="shared" ref="O125:O136" si="63">IF(N125=0,"NA",(+M125-N125)/N125)</f>
        <v>-0.12427405471553328</v>
      </c>
      <c r="P125" s="80" t="s">
        <v>227</v>
      </c>
      <c r="Q125" s="78" t="s">
        <v>183</v>
      </c>
      <c r="R125" s="64"/>
    </row>
    <row r="126" spans="1:18" x14ac:dyDescent="0.25">
      <c r="A126" s="52">
        <v>118</v>
      </c>
      <c r="C126" s="1" t="s">
        <v>68</v>
      </c>
      <c r="G126" s="72">
        <f>ROUND(+$I126*(1+$E$115),0)</f>
        <v>33323</v>
      </c>
      <c r="H126" s="44">
        <f>+G126</f>
        <v>33323</v>
      </c>
      <c r="I126" s="44">
        <v>32352</v>
      </c>
      <c r="J126" s="44">
        <f t="shared" si="61"/>
        <v>971</v>
      </c>
      <c r="K126" s="6">
        <f t="shared" si="62"/>
        <v>3.0013600395647873E-2</v>
      </c>
      <c r="M126" s="5">
        <v>28381.279999999999</v>
      </c>
      <c r="N126" s="5">
        <v>29656</v>
      </c>
      <c r="O126" s="6">
        <f t="shared" si="63"/>
        <v>-4.2983544645265756E-2</v>
      </c>
      <c r="P126" s="78" t="s">
        <v>171</v>
      </c>
      <c r="Q126" s="78" t="s">
        <v>181</v>
      </c>
    </row>
    <row r="127" spans="1:18" x14ac:dyDescent="0.25">
      <c r="A127" s="52">
        <v>119</v>
      </c>
      <c r="C127" s="1" t="s">
        <v>69</v>
      </c>
      <c r="H127" s="5">
        <v>400</v>
      </c>
      <c r="I127" s="44">
        <v>400</v>
      </c>
      <c r="J127" s="44">
        <f t="shared" si="61"/>
        <v>0</v>
      </c>
      <c r="K127" s="6">
        <f t="shared" si="62"/>
        <v>0</v>
      </c>
      <c r="M127" s="5">
        <v>481.36</v>
      </c>
      <c r="N127" s="5">
        <v>366.63</v>
      </c>
      <c r="O127" s="6">
        <f t="shared" si="63"/>
        <v>0.312931293129313</v>
      </c>
      <c r="P127" s="80" t="s">
        <v>252</v>
      </c>
      <c r="Q127" s="80" t="s">
        <v>184</v>
      </c>
    </row>
    <row r="128" spans="1:18" ht="60" x14ac:dyDescent="0.25">
      <c r="A128" s="52">
        <v>120</v>
      </c>
      <c r="C128" s="1" t="s">
        <v>126</v>
      </c>
      <c r="H128" s="5">
        <f>700</f>
        <v>700</v>
      </c>
      <c r="I128" s="44">
        <v>900</v>
      </c>
      <c r="J128" s="44">
        <f t="shared" si="61"/>
        <v>-200</v>
      </c>
      <c r="K128" s="6">
        <f t="shared" si="62"/>
        <v>-0.22222222222222221</v>
      </c>
      <c r="M128" s="5">
        <v>75</v>
      </c>
      <c r="N128" s="5">
        <v>825</v>
      </c>
      <c r="O128" s="6">
        <f t="shared" si="63"/>
        <v>-0.90909090909090906</v>
      </c>
      <c r="P128" s="80" t="s">
        <v>223</v>
      </c>
      <c r="Q128" s="78" t="s">
        <v>161</v>
      </c>
    </row>
    <row r="129" spans="1:18" hidden="1" x14ac:dyDescent="0.25">
      <c r="C129" s="1" t="s">
        <v>225</v>
      </c>
      <c r="H129" s="5">
        <v>0</v>
      </c>
      <c r="I129" s="5">
        <v>0</v>
      </c>
      <c r="J129" s="44">
        <f t="shared" si="61"/>
        <v>0</v>
      </c>
      <c r="K129" s="6" t="str">
        <f t="shared" si="62"/>
        <v>NA</v>
      </c>
      <c r="M129" s="5">
        <v>0</v>
      </c>
      <c r="N129" s="5">
        <v>0</v>
      </c>
      <c r="O129" s="6" t="str">
        <f t="shared" si="63"/>
        <v>NA</v>
      </c>
      <c r="P129" s="80"/>
      <c r="Q129" s="42" t="s">
        <v>230</v>
      </c>
    </row>
    <row r="130" spans="1:18" ht="45" x14ac:dyDescent="0.25">
      <c r="C130" s="1" t="s">
        <v>157</v>
      </c>
      <c r="G130" s="31"/>
      <c r="H130" s="5">
        <f>1500+2870-2870</f>
        <v>1500</v>
      </c>
      <c r="I130" s="5">
        <v>4370</v>
      </c>
      <c r="J130" s="44">
        <f t="shared" si="61"/>
        <v>-2870</v>
      </c>
      <c r="K130" s="6">
        <f t="shared" ref="K130" si="64">IF(I130=0,"NA",(+H130-I130)/I130)</f>
        <v>-0.65675057208237986</v>
      </c>
      <c r="M130" s="5">
        <v>759</v>
      </c>
      <c r="N130" s="5">
        <v>4005.87</v>
      </c>
      <c r="O130" s="6">
        <f t="shared" ref="O130" si="65">IF(N130=0,"NA",(+M130-N130)/N130)</f>
        <v>-0.81052805008649809</v>
      </c>
      <c r="P130" s="78" t="s">
        <v>257</v>
      </c>
      <c r="Q130" s="78" t="s">
        <v>156</v>
      </c>
    </row>
    <row r="131" spans="1:18" ht="45" x14ac:dyDescent="0.25">
      <c r="A131" s="52">
        <v>122</v>
      </c>
      <c r="C131" s="1" t="s">
        <v>107</v>
      </c>
      <c r="F131" s="66"/>
      <c r="G131" s="86">
        <f>ROUND((30*52*12.12)*(1),0)</f>
        <v>18907</v>
      </c>
      <c r="H131" s="44">
        <f>+G131</f>
        <v>18907</v>
      </c>
      <c r="I131" s="44">
        <v>18299</v>
      </c>
      <c r="J131" s="44">
        <f t="shared" si="61"/>
        <v>608</v>
      </c>
      <c r="K131" s="6">
        <f t="shared" si="62"/>
        <v>3.3225859336575771E-2</v>
      </c>
      <c r="M131" s="5">
        <v>17325.060000000001</v>
      </c>
      <c r="N131" s="5">
        <v>16774.12</v>
      </c>
      <c r="O131" s="6">
        <f t="shared" si="63"/>
        <v>3.2844644011131574E-2</v>
      </c>
      <c r="P131" s="80" t="s">
        <v>240</v>
      </c>
      <c r="Q131" s="80" t="s">
        <v>181</v>
      </c>
      <c r="R131" s="64"/>
    </row>
    <row r="132" spans="1:18" ht="45" x14ac:dyDescent="0.25">
      <c r="A132" s="52">
        <v>123</v>
      </c>
      <c r="C132" s="1" t="s">
        <v>70</v>
      </c>
      <c r="G132" s="64"/>
      <c r="H132" s="61">
        <f>12550-382.5</f>
        <v>12167.5</v>
      </c>
      <c r="I132" s="44">
        <v>10000</v>
      </c>
      <c r="J132" s="44">
        <f t="shared" si="61"/>
        <v>2167.5</v>
      </c>
      <c r="K132" s="6">
        <f t="shared" si="62"/>
        <v>0.21675</v>
      </c>
      <c r="M132" s="61">
        <v>7705.47</v>
      </c>
      <c r="N132" s="61">
        <v>9166.6299999999992</v>
      </c>
      <c r="O132" s="6">
        <f t="shared" si="63"/>
        <v>-0.15939991032691395</v>
      </c>
      <c r="P132" s="80" t="s">
        <v>260</v>
      </c>
      <c r="Q132" s="78" t="s">
        <v>185</v>
      </c>
    </row>
    <row r="133" spans="1:18" ht="45" x14ac:dyDescent="0.25">
      <c r="A133" s="52">
        <v>124</v>
      </c>
      <c r="C133" s="1" t="s">
        <v>71</v>
      </c>
      <c r="H133" s="61">
        <v>3431</v>
      </c>
      <c r="I133" s="44">
        <v>3431</v>
      </c>
      <c r="J133" s="44">
        <f t="shared" si="61"/>
        <v>0</v>
      </c>
      <c r="K133" s="6">
        <f t="shared" si="62"/>
        <v>0</v>
      </c>
      <c r="M133" s="61">
        <v>2492.83</v>
      </c>
      <c r="N133" s="61">
        <v>3431</v>
      </c>
      <c r="O133" s="6">
        <f t="shared" si="63"/>
        <v>-0.27343923054503061</v>
      </c>
      <c r="P133" s="82" t="s">
        <v>239</v>
      </c>
      <c r="Q133" s="78" t="s">
        <v>185</v>
      </c>
    </row>
    <row r="134" spans="1:18" x14ac:dyDescent="0.25">
      <c r="A134" s="52">
        <v>125</v>
      </c>
      <c r="C134" s="1" t="s">
        <v>72</v>
      </c>
      <c r="H134" s="61">
        <v>0</v>
      </c>
      <c r="I134" s="44">
        <v>600</v>
      </c>
      <c r="J134" s="44">
        <f t="shared" si="61"/>
        <v>-600</v>
      </c>
      <c r="K134" s="6">
        <f t="shared" si="62"/>
        <v>-1</v>
      </c>
      <c r="M134" s="61">
        <v>800</v>
      </c>
      <c r="N134" s="61">
        <v>550</v>
      </c>
      <c r="O134" s="6">
        <f t="shared" si="63"/>
        <v>0.45454545454545453</v>
      </c>
      <c r="P134" s="78" t="s">
        <v>194</v>
      </c>
      <c r="Q134" s="78" t="s">
        <v>194</v>
      </c>
    </row>
    <row r="135" spans="1:18" s="4" customFormat="1" x14ac:dyDescent="0.25">
      <c r="A135" s="52">
        <v>127</v>
      </c>
      <c r="B135" s="29" t="s">
        <v>67</v>
      </c>
      <c r="C135" s="29"/>
      <c r="D135" s="29"/>
      <c r="E135" s="29"/>
      <c r="F135" s="29"/>
      <c r="G135" s="29"/>
      <c r="H135" s="29">
        <f>SUM(H125:H134)</f>
        <v>83175.78</v>
      </c>
      <c r="I135" s="29">
        <v>82975</v>
      </c>
      <c r="J135" s="29">
        <f>SUM(J125:J134)</f>
        <v>200.78000000000065</v>
      </c>
      <c r="K135" s="30">
        <f t="shared" si="62"/>
        <v>2.4197649894546411E-3</v>
      </c>
      <c r="M135" s="29">
        <f>SUM(M125:M134)</f>
        <v>68153.13</v>
      </c>
      <c r="N135" s="29">
        <f>SUM(N125:N134)</f>
        <v>76346.37000000001</v>
      </c>
      <c r="O135" s="30">
        <f t="shared" si="63"/>
        <v>-0.10731669364240899</v>
      </c>
      <c r="P135" s="74"/>
      <c r="Q135" s="80"/>
    </row>
    <row r="136" spans="1:18" x14ac:dyDescent="0.25">
      <c r="A136" s="52">
        <v>128</v>
      </c>
      <c r="B136" s="29" t="s">
        <v>73</v>
      </c>
      <c r="C136" s="29"/>
      <c r="D136" s="40" t="str">
        <f>0*100%&amp;"% Cost of Living"</f>
        <v>0% Cost of Living</v>
      </c>
      <c r="E136" s="40"/>
      <c r="F136" s="40"/>
      <c r="G136" s="40"/>
      <c r="H136" s="29">
        <f>+H87+H92+H97+H102+H112+H122+H135</f>
        <v>326366.04000000004</v>
      </c>
      <c r="I136" s="29">
        <f t="shared" ref="I136:J136" si="66">+I87+I92+I97+I102+I112+I122+I135</f>
        <v>306532</v>
      </c>
      <c r="J136" s="29">
        <f t="shared" si="66"/>
        <v>19834.04</v>
      </c>
      <c r="K136" s="30">
        <f t="shared" si="62"/>
        <v>6.4704631164120022E-2</v>
      </c>
      <c r="M136" s="29">
        <f t="shared" ref="M136" si="67">+M87+M92+M97+M102+M112+M122+M135</f>
        <v>271521.92000000004</v>
      </c>
      <c r="N136" s="29">
        <f t="shared" ref="N136" si="68">+N87+N92+N97+N102+N112+N122+N135</f>
        <v>281273.51</v>
      </c>
      <c r="O136" s="30">
        <f t="shared" si="63"/>
        <v>-3.4669421944497965E-2</v>
      </c>
      <c r="P136" s="73"/>
      <c r="Q136" s="78"/>
    </row>
    <row r="137" spans="1:18" ht="8.25" customHeight="1" x14ac:dyDescent="0.25">
      <c r="A137" s="52">
        <v>129</v>
      </c>
      <c r="K137" s="7"/>
      <c r="P137" s="73"/>
      <c r="Q137" s="78"/>
    </row>
    <row r="138" spans="1:18" ht="18.75" x14ac:dyDescent="0.25">
      <c r="A138" s="52">
        <v>130</v>
      </c>
      <c r="B138" s="10" t="s">
        <v>74</v>
      </c>
      <c r="K138" s="7"/>
      <c r="P138" s="73"/>
      <c r="Q138" s="79"/>
    </row>
    <row r="139" spans="1:18" x14ac:dyDescent="0.25">
      <c r="A139" s="52">
        <v>131</v>
      </c>
      <c r="B139" s="4" t="s">
        <v>75</v>
      </c>
      <c r="K139" s="7"/>
      <c r="P139" s="73"/>
      <c r="Q139" s="78"/>
    </row>
    <row r="140" spans="1:18" x14ac:dyDescent="0.25">
      <c r="A140" s="52">
        <v>132</v>
      </c>
      <c r="C140" s="1" t="s">
        <v>77</v>
      </c>
      <c r="H140" s="5">
        <v>17000</v>
      </c>
      <c r="I140" s="44">
        <v>17000</v>
      </c>
      <c r="J140" s="44">
        <f t="shared" ref="J140:J146" si="69">+H140-I140</f>
        <v>0</v>
      </c>
      <c r="K140" s="6">
        <f t="shared" ref="K140:K147" si="70">IF(I140=0,"NA",(+H140-I140)/I140)</f>
        <v>0</v>
      </c>
      <c r="M140" s="5">
        <v>15151.52</v>
      </c>
      <c r="N140" s="5">
        <v>15583.37</v>
      </c>
      <c r="O140" s="6">
        <f t="shared" ref="O140:O147" si="71">IF(N140=0,"NA",(+M140-N140)/N140)</f>
        <v>-2.7712234259983582E-2</v>
      </c>
      <c r="P140" s="78" t="s">
        <v>165</v>
      </c>
      <c r="Q140" s="78" t="s">
        <v>179</v>
      </c>
    </row>
    <row r="141" spans="1:18" x14ac:dyDescent="0.25">
      <c r="A141" s="52">
        <v>133</v>
      </c>
      <c r="C141" s="1" t="s">
        <v>78</v>
      </c>
      <c r="H141" s="5">
        <v>16000</v>
      </c>
      <c r="I141" s="44">
        <v>16000</v>
      </c>
      <c r="J141" s="44">
        <f t="shared" si="69"/>
        <v>0</v>
      </c>
      <c r="K141" s="6">
        <f t="shared" si="70"/>
        <v>0</v>
      </c>
      <c r="M141" s="5">
        <v>8927.0499999999993</v>
      </c>
      <c r="N141" s="5">
        <v>14666.63</v>
      </c>
      <c r="O141" s="6">
        <f t="shared" si="71"/>
        <v>-0.39133597833994588</v>
      </c>
      <c r="P141" s="81" t="s">
        <v>195</v>
      </c>
      <c r="Q141" s="78" t="s">
        <v>186</v>
      </c>
    </row>
    <row r="142" spans="1:18" x14ac:dyDescent="0.25">
      <c r="A142" s="52">
        <v>134</v>
      </c>
      <c r="C142" s="1" t="s">
        <v>79</v>
      </c>
      <c r="G142" s="5"/>
      <c r="H142" s="5">
        <v>5976</v>
      </c>
      <c r="I142" s="44">
        <v>5976</v>
      </c>
      <c r="J142" s="44">
        <f t="shared" si="69"/>
        <v>0</v>
      </c>
      <c r="K142" s="6">
        <f t="shared" si="70"/>
        <v>0</v>
      </c>
      <c r="M142" s="5">
        <v>5549.44</v>
      </c>
      <c r="N142" s="5">
        <v>5478</v>
      </c>
      <c r="O142" s="6">
        <f t="shared" si="71"/>
        <v>1.3041255932822125E-2</v>
      </c>
      <c r="P142" s="81" t="s">
        <v>196</v>
      </c>
      <c r="Q142" s="78" t="s">
        <v>155</v>
      </c>
    </row>
    <row r="143" spans="1:18" x14ac:dyDescent="0.25">
      <c r="A143" s="52">
        <v>135</v>
      </c>
      <c r="C143" s="1" t="s">
        <v>80</v>
      </c>
      <c r="H143" s="5">
        <v>800</v>
      </c>
      <c r="I143" s="44">
        <v>800</v>
      </c>
      <c r="J143" s="44">
        <f t="shared" si="69"/>
        <v>0</v>
      </c>
      <c r="K143" s="6">
        <f t="shared" si="70"/>
        <v>0</v>
      </c>
      <c r="M143" s="5">
        <v>857.63</v>
      </c>
      <c r="N143" s="5">
        <v>800</v>
      </c>
      <c r="O143" s="6">
        <f t="shared" si="71"/>
        <v>7.203749999999999E-2</v>
      </c>
      <c r="P143" s="78" t="s">
        <v>165</v>
      </c>
      <c r="Q143" s="78"/>
    </row>
    <row r="144" spans="1:18" ht="63.75" customHeight="1" x14ac:dyDescent="0.25">
      <c r="A144" s="52">
        <v>136</v>
      </c>
      <c r="C144" s="1" t="s">
        <v>81</v>
      </c>
      <c r="H144" s="5">
        <v>3300</v>
      </c>
      <c r="I144" s="44">
        <v>3300</v>
      </c>
      <c r="J144" s="44">
        <f t="shared" si="69"/>
        <v>0</v>
      </c>
      <c r="K144" s="6">
        <f t="shared" si="70"/>
        <v>0</v>
      </c>
      <c r="M144" s="5">
        <v>2874.07</v>
      </c>
      <c r="N144" s="5">
        <v>3025</v>
      </c>
      <c r="O144" s="6">
        <f t="shared" si="71"/>
        <v>-4.9894214876033002E-2</v>
      </c>
      <c r="P144" s="87" t="s">
        <v>205</v>
      </c>
      <c r="Q144" s="81" t="s">
        <v>123</v>
      </c>
    </row>
    <row r="145" spans="1:17" ht="66" customHeight="1" x14ac:dyDescent="0.25">
      <c r="A145" s="52">
        <v>137</v>
      </c>
      <c r="C145" s="1" t="s">
        <v>82</v>
      </c>
      <c r="H145" s="5">
        <f>ROUND(+(95+90+90)*12,0)</f>
        <v>3300</v>
      </c>
      <c r="I145" s="44">
        <v>2700</v>
      </c>
      <c r="J145" s="44">
        <f t="shared" si="69"/>
        <v>600</v>
      </c>
      <c r="K145" s="6">
        <f t="shared" si="70"/>
        <v>0.22222222222222221</v>
      </c>
      <c r="M145" s="5">
        <v>2376.9699999999998</v>
      </c>
      <c r="N145" s="5">
        <v>2475</v>
      </c>
      <c r="O145" s="6">
        <f t="shared" si="71"/>
        <v>-3.9608080808080891E-2</v>
      </c>
      <c r="P145" s="80" t="s">
        <v>236</v>
      </c>
      <c r="Q145" s="81" t="s">
        <v>147</v>
      </c>
    </row>
    <row r="146" spans="1:17" x14ac:dyDescent="0.25">
      <c r="A146" s="52">
        <v>138</v>
      </c>
      <c r="C146" s="1" t="s">
        <v>159</v>
      </c>
      <c r="H146" s="5">
        <v>3900</v>
      </c>
      <c r="I146" s="44">
        <v>3900</v>
      </c>
      <c r="J146" s="44">
        <f t="shared" si="69"/>
        <v>0</v>
      </c>
      <c r="K146" s="6">
        <f t="shared" si="70"/>
        <v>0</v>
      </c>
      <c r="M146" s="5">
        <v>3954.67</v>
      </c>
      <c r="N146" s="5">
        <v>3900</v>
      </c>
      <c r="O146" s="6">
        <f t="shared" si="71"/>
        <v>1.4017948717948736E-2</v>
      </c>
      <c r="P146" s="78" t="s">
        <v>166</v>
      </c>
      <c r="Q146" s="78" t="s">
        <v>187</v>
      </c>
    </row>
    <row r="147" spans="1:17" s="4" customFormat="1" x14ac:dyDescent="0.25">
      <c r="A147" s="52">
        <v>139</v>
      </c>
      <c r="B147" s="32" t="s">
        <v>83</v>
      </c>
      <c r="C147" s="32"/>
      <c r="D147" s="32"/>
      <c r="E147" s="32"/>
      <c r="F147" s="32"/>
      <c r="G147" s="32"/>
      <c r="H147" s="32">
        <f>SUM(H140:H146)</f>
        <v>50276</v>
      </c>
      <c r="I147" s="32">
        <v>49676</v>
      </c>
      <c r="J147" s="32">
        <f>SUM(J140:J146)</f>
        <v>600</v>
      </c>
      <c r="K147" s="33">
        <f t="shared" si="70"/>
        <v>1.2078267171269828E-2</v>
      </c>
      <c r="M147" s="32">
        <f>SUM(M140:M146)</f>
        <v>39691.35</v>
      </c>
      <c r="N147" s="32">
        <f>SUM(N140:N146)</f>
        <v>45928</v>
      </c>
      <c r="O147" s="33">
        <f t="shared" si="71"/>
        <v>-0.13579189165650588</v>
      </c>
      <c r="P147" s="74"/>
      <c r="Q147" s="81"/>
    </row>
    <row r="148" spans="1:17" s="4" customFormat="1" ht="6.75" customHeight="1" x14ac:dyDescent="0.25">
      <c r="A148" s="52">
        <v>140</v>
      </c>
      <c r="B148" s="19"/>
      <c r="C148" s="19"/>
      <c r="D148" s="19"/>
      <c r="E148" s="19"/>
      <c r="F148" s="19"/>
      <c r="G148" s="19"/>
      <c r="H148" s="19"/>
      <c r="I148" s="19"/>
      <c r="J148" s="19"/>
      <c r="K148" s="22"/>
      <c r="M148" s="19"/>
      <c r="N148" s="19"/>
      <c r="O148" s="22"/>
      <c r="P148" s="74"/>
      <c r="Q148" s="78"/>
    </row>
    <row r="149" spans="1:17" x14ac:dyDescent="0.25">
      <c r="A149" s="52">
        <v>141</v>
      </c>
      <c r="B149" s="4" t="s">
        <v>84</v>
      </c>
      <c r="K149" s="7"/>
      <c r="P149" s="73"/>
      <c r="Q149" s="78"/>
    </row>
    <row r="150" spans="1:17" x14ac:dyDescent="0.25">
      <c r="A150" s="52">
        <v>142</v>
      </c>
      <c r="C150" s="1" t="s">
        <v>85</v>
      </c>
      <c r="H150" s="5">
        <v>14730</v>
      </c>
      <c r="I150" s="44">
        <v>14730</v>
      </c>
      <c r="J150" s="44">
        <f t="shared" ref="J150:J157" si="72">+H150-I150</f>
        <v>0</v>
      </c>
      <c r="K150" s="6">
        <f t="shared" ref="K150:K159" si="73">IF(I150=0,"NA",(+H150-I150)/I150)</f>
        <v>0</v>
      </c>
      <c r="M150" s="5">
        <v>14677.84</v>
      </c>
      <c r="N150" s="5">
        <v>14730</v>
      </c>
      <c r="O150" s="6">
        <f t="shared" ref="O150:O159" si="74">IF(N150=0,"NA",(+M150-N150)/N150)</f>
        <v>-3.5410726408689648E-3</v>
      </c>
      <c r="P150" s="78" t="s">
        <v>165</v>
      </c>
      <c r="Q150" s="78" t="s">
        <v>148</v>
      </c>
    </row>
    <row r="151" spans="1:17" x14ac:dyDescent="0.25">
      <c r="A151" s="52">
        <v>143</v>
      </c>
      <c r="C151" s="1" t="s">
        <v>86</v>
      </c>
      <c r="H151" s="5">
        <v>5000</v>
      </c>
      <c r="I151" s="44">
        <v>5000</v>
      </c>
      <c r="J151" s="44">
        <f t="shared" si="72"/>
        <v>0</v>
      </c>
      <c r="K151" s="6">
        <f t="shared" si="73"/>
        <v>0</v>
      </c>
      <c r="M151" s="5">
        <v>3777.19</v>
      </c>
      <c r="N151" s="5">
        <v>4000</v>
      </c>
      <c r="O151" s="6">
        <f t="shared" si="74"/>
        <v>-5.5702499999999988E-2</v>
      </c>
      <c r="P151" s="78" t="s">
        <v>165</v>
      </c>
      <c r="Q151" s="78" t="s">
        <v>179</v>
      </c>
    </row>
    <row r="152" spans="1:17" x14ac:dyDescent="0.25">
      <c r="A152" s="52">
        <v>144</v>
      </c>
      <c r="C152" s="1" t="s">
        <v>124</v>
      </c>
      <c r="H152" s="5">
        <v>2500</v>
      </c>
      <c r="I152" s="44">
        <v>2500</v>
      </c>
      <c r="J152" s="44">
        <f t="shared" si="72"/>
        <v>0</v>
      </c>
      <c r="K152" s="6">
        <f t="shared" si="73"/>
        <v>0</v>
      </c>
      <c r="M152" s="5">
        <v>3880.25</v>
      </c>
      <c r="N152" s="5">
        <v>2291.63</v>
      </c>
      <c r="O152" s="6">
        <f t="shared" si="74"/>
        <v>0.69322709163346607</v>
      </c>
      <c r="P152" s="78" t="s">
        <v>165</v>
      </c>
      <c r="Q152" s="78" t="s">
        <v>179</v>
      </c>
    </row>
    <row r="153" spans="1:17" ht="30" x14ac:dyDescent="0.25">
      <c r="A153" s="52">
        <v>145</v>
      </c>
      <c r="C153" s="89" t="s">
        <v>149</v>
      </c>
      <c r="D153" s="89"/>
      <c r="E153" s="69"/>
      <c r="F153" s="65"/>
      <c r="G153" s="59"/>
      <c r="H153" s="5">
        <v>4300</v>
      </c>
      <c r="I153" s="44">
        <v>4300</v>
      </c>
      <c r="J153" s="44">
        <f t="shared" si="72"/>
        <v>0</v>
      </c>
      <c r="K153" s="6">
        <f t="shared" si="73"/>
        <v>0</v>
      </c>
      <c r="M153" s="5">
        <v>3858.43</v>
      </c>
      <c r="N153" s="5">
        <v>3941.63</v>
      </c>
      <c r="O153" s="6">
        <f t="shared" si="74"/>
        <v>-2.1108018763810979E-2</v>
      </c>
      <c r="P153" s="78" t="s">
        <v>167</v>
      </c>
      <c r="Q153" s="78" t="s">
        <v>188</v>
      </c>
    </row>
    <row r="154" spans="1:17" x14ac:dyDescent="0.25">
      <c r="A154" s="52">
        <v>146</v>
      </c>
      <c r="C154" s="1" t="s">
        <v>87</v>
      </c>
      <c r="H154" s="5">
        <v>6000</v>
      </c>
      <c r="I154" s="44">
        <v>6000</v>
      </c>
      <c r="J154" s="44">
        <f t="shared" si="72"/>
        <v>0</v>
      </c>
      <c r="K154" s="6">
        <f t="shared" si="73"/>
        <v>0</v>
      </c>
      <c r="M154" s="5">
        <v>5788</v>
      </c>
      <c r="N154" s="5">
        <v>5500</v>
      </c>
      <c r="O154" s="6">
        <f t="shared" si="74"/>
        <v>5.2363636363636362E-2</v>
      </c>
      <c r="P154" s="78" t="s">
        <v>165</v>
      </c>
      <c r="Q154" s="78" t="s">
        <v>179</v>
      </c>
    </row>
    <row r="155" spans="1:17" x14ac:dyDescent="0.25">
      <c r="A155" s="52">
        <v>147</v>
      </c>
      <c r="C155" s="1" t="s">
        <v>88</v>
      </c>
      <c r="H155" s="5">
        <v>0</v>
      </c>
      <c r="I155" s="44">
        <v>0</v>
      </c>
      <c r="J155" s="44">
        <f t="shared" si="72"/>
        <v>0</v>
      </c>
      <c r="K155" s="6" t="str">
        <f t="shared" si="73"/>
        <v>NA</v>
      </c>
      <c r="M155" s="5">
        <v>0</v>
      </c>
      <c r="N155" s="5">
        <v>0</v>
      </c>
      <c r="O155" s="6" t="str">
        <f t="shared" si="74"/>
        <v>NA</v>
      </c>
      <c r="P155" s="73"/>
      <c r="Q155" s="78"/>
    </row>
    <row r="156" spans="1:17" ht="33.75" customHeight="1" x14ac:dyDescent="0.25">
      <c r="A156" s="52">
        <v>148</v>
      </c>
      <c r="C156" s="1" t="s">
        <v>90</v>
      </c>
      <c r="H156" s="5">
        <v>0</v>
      </c>
      <c r="I156" s="44">
        <v>54900</v>
      </c>
      <c r="J156" s="44">
        <f t="shared" si="72"/>
        <v>-54900</v>
      </c>
      <c r="K156" s="6">
        <f t="shared" si="73"/>
        <v>-1</v>
      </c>
      <c r="M156" s="5">
        <v>54876</v>
      </c>
      <c r="N156" s="5">
        <v>50325</v>
      </c>
      <c r="O156" s="6">
        <f t="shared" si="74"/>
        <v>9.0432190760059608E-2</v>
      </c>
      <c r="P156" s="80" t="s">
        <v>259</v>
      </c>
      <c r="Q156" s="78" t="s">
        <v>189</v>
      </c>
    </row>
    <row r="157" spans="1:17" ht="43.5" customHeight="1" x14ac:dyDescent="0.25">
      <c r="A157" s="52">
        <v>149</v>
      </c>
      <c r="C157" s="1" t="s">
        <v>89</v>
      </c>
      <c r="H157" s="5">
        <f>137.5*12</f>
        <v>1650</v>
      </c>
      <c r="I157" s="44">
        <v>1650</v>
      </c>
      <c r="J157" s="44">
        <f t="shared" si="72"/>
        <v>0</v>
      </c>
      <c r="K157" s="6">
        <f t="shared" si="73"/>
        <v>0</v>
      </c>
      <c r="M157" s="5">
        <v>719.58</v>
      </c>
      <c r="N157" s="5">
        <v>1512.5</v>
      </c>
      <c r="O157" s="6">
        <f t="shared" si="74"/>
        <v>-0.52424462809917349</v>
      </c>
      <c r="P157" s="80" t="s">
        <v>207</v>
      </c>
      <c r="Q157" s="78" t="s">
        <v>190</v>
      </c>
    </row>
    <row r="158" spans="1:17" s="4" customFormat="1" x14ac:dyDescent="0.25">
      <c r="A158" s="52">
        <v>150</v>
      </c>
      <c r="B158" s="32" t="s">
        <v>91</v>
      </c>
      <c r="C158" s="32"/>
      <c r="D158" s="32"/>
      <c r="E158" s="32"/>
      <c r="F158" s="32"/>
      <c r="G158" s="32"/>
      <c r="H158" s="32">
        <f>SUM(H150:H157)</f>
        <v>34180</v>
      </c>
      <c r="I158" s="32">
        <v>89080</v>
      </c>
      <c r="J158" s="32">
        <f>SUM(J150:J157)</f>
        <v>-54900</v>
      </c>
      <c r="K158" s="33">
        <f t="shared" si="73"/>
        <v>-0.61629995509654245</v>
      </c>
      <c r="M158" s="32">
        <f>SUM(M150:M157)</f>
        <v>87577.29</v>
      </c>
      <c r="N158" s="32">
        <f>SUM(N150:N157)</f>
        <v>82300.760000000009</v>
      </c>
      <c r="O158" s="33">
        <f t="shared" si="74"/>
        <v>6.4112773685200283E-2</v>
      </c>
      <c r="P158" s="74"/>
      <c r="Q158" s="78"/>
    </row>
    <row r="159" spans="1:17" x14ac:dyDescent="0.25">
      <c r="A159" s="52">
        <v>151</v>
      </c>
      <c r="B159" s="32" t="s">
        <v>92</v>
      </c>
      <c r="C159" s="32"/>
      <c r="D159" s="32"/>
      <c r="E159" s="32"/>
      <c r="F159" s="32"/>
      <c r="G159" s="32"/>
      <c r="H159" s="32">
        <f>+H147+H158</f>
        <v>84456</v>
      </c>
      <c r="I159" s="32">
        <v>138756</v>
      </c>
      <c r="J159" s="32">
        <f>+J147+J158</f>
        <v>-54300</v>
      </c>
      <c r="K159" s="33">
        <f t="shared" si="73"/>
        <v>-0.39133442878145808</v>
      </c>
      <c r="M159" s="32">
        <f t="shared" ref="M159:N159" si="75">+M147+M158</f>
        <v>127268.63999999998</v>
      </c>
      <c r="N159" s="32">
        <f t="shared" si="75"/>
        <v>128228.76000000001</v>
      </c>
      <c r="O159" s="33">
        <f t="shared" si="74"/>
        <v>-7.4875558338084562E-3</v>
      </c>
      <c r="P159" s="73"/>
      <c r="Q159" s="78"/>
    </row>
    <row r="160" spans="1:17" ht="4.5" customHeight="1" x14ac:dyDescent="0.25">
      <c r="A160" s="52">
        <v>152</v>
      </c>
      <c r="K160" s="7"/>
      <c r="P160" s="73"/>
      <c r="Q160" s="78"/>
    </row>
    <row r="161" spans="1:17" ht="18.75" x14ac:dyDescent="0.25">
      <c r="A161" s="52">
        <v>153</v>
      </c>
      <c r="B161" s="10" t="s">
        <v>93</v>
      </c>
      <c r="K161" s="7"/>
      <c r="P161" s="73"/>
      <c r="Q161" s="78"/>
    </row>
    <row r="162" spans="1:17" x14ac:dyDescent="0.25">
      <c r="A162" s="52">
        <v>154</v>
      </c>
      <c r="B162" s="4" t="s">
        <v>94</v>
      </c>
      <c r="K162" s="7"/>
      <c r="P162" s="73"/>
      <c r="Q162" s="78"/>
    </row>
    <row r="163" spans="1:17" x14ac:dyDescent="0.25">
      <c r="A163" s="52">
        <v>155</v>
      </c>
      <c r="C163" s="1" t="s">
        <v>95</v>
      </c>
      <c r="H163" s="5">
        <v>0</v>
      </c>
      <c r="I163" s="44">
        <v>0</v>
      </c>
      <c r="J163" s="44">
        <f t="shared" ref="J163:J166" si="76">+H163-I163</f>
        <v>0</v>
      </c>
      <c r="K163" s="6" t="str">
        <f t="shared" ref="K163:K167" si="77">IF(I163=0,"NA",(+H163-I163)/I163)</f>
        <v>NA</v>
      </c>
      <c r="M163" s="5">
        <v>0</v>
      </c>
      <c r="N163" s="5">
        <v>0</v>
      </c>
      <c r="O163" s="6" t="str">
        <f>IF(N163=0,"NA",(+M163-N163)/N163)</f>
        <v>NA</v>
      </c>
      <c r="P163" s="73"/>
      <c r="Q163" s="78"/>
    </row>
    <row r="164" spans="1:17" ht="30" x14ac:dyDescent="0.25">
      <c r="A164" s="52">
        <v>156</v>
      </c>
      <c r="C164" s="1" t="s">
        <v>96</v>
      </c>
      <c r="H164" s="61">
        <f>5493-1-225-60-4</f>
        <v>5203</v>
      </c>
      <c r="I164" s="44">
        <v>0</v>
      </c>
      <c r="J164" s="44">
        <f t="shared" si="76"/>
        <v>5203</v>
      </c>
      <c r="K164" s="6" t="str">
        <f t="shared" si="77"/>
        <v>NA</v>
      </c>
      <c r="M164" s="5">
        <v>0</v>
      </c>
      <c r="N164" s="5">
        <v>0</v>
      </c>
      <c r="O164" s="6" t="str">
        <f>IF(N164=0,"NA",(+M164-N164)/N164)</f>
        <v>NA</v>
      </c>
      <c r="P164" s="78" t="s">
        <v>197</v>
      </c>
      <c r="Q164" s="78" t="s">
        <v>150</v>
      </c>
    </row>
    <row r="165" spans="1:17" x14ac:dyDescent="0.25">
      <c r="A165" s="52">
        <v>157</v>
      </c>
      <c r="C165" s="1" t="s">
        <v>97</v>
      </c>
      <c r="H165" s="61">
        <v>0</v>
      </c>
      <c r="I165" s="44">
        <v>0</v>
      </c>
      <c r="J165" s="44">
        <f t="shared" si="76"/>
        <v>0</v>
      </c>
      <c r="K165" s="6" t="str">
        <f t="shared" si="77"/>
        <v>NA</v>
      </c>
      <c r="M165" s="5">
        <v>2.12</v>
      </c>
      <c r="N165" s="5">
        <v>0</v>
      </c>
      <c r="O165" s="6" t="str">
        <f>IF(N165=0,"NA",(+M165-N165)/N165)</f>
        <v>NA</v>
      </c>
      <c r="P165" s="73"/>
      <c r="Q165" s="78"/>
    </row>
    <row r="166" spans="1:17" ht="45" x14ac:dyDescent="0.25">
      <c r="A166" s="52">
        <v>158</v>
      </c>
      <c r="C166" s="1" t="s">
        <v>98</v>
      </c>
      <c r="H166" s="61">
        <f>5493-1-225-60-4+10600+1060+106+10+1</f>
        <v>16980</v>
      </c>
      <c r="I166" s="44">
        <v>3389</v>
      </c>
      <c r="J166" s="44">
        <f t="shared" si="76"/>
        <v>13591</v>
      </c>
      <c r="K166" s="6">
        <f t="shared" si="77"/>
        <v>4.0103275302449104</v>
      </c>
      <c r="M166" s="5">
        <v>0</v>
      </c>
      <c r="N166" s="5">
        <v>1694.5</v>
      </c>
      <c r="O166" s="6">
        <f>IF(N166=0,"NA",(+M166-N166)/N166)</f>
        <v>-1</v>
      </c>
      <c r="P166" s="80" t="s">
        <v>206</v>
      </c>
      <c r="Q166" s="78" t="s">
        <v>133</v>
      </c>
    </row>
    <row r="167" spans="1:17" s="4" customFormat="1" x14ac:dyDescent="0.25">
      <c r="A167" s="52">
        <v>159</v>
      </c>
      <c r="B167" s="34" t="s">
        <v>99</v>
      </c>
      <c r="C167" s="34"/>
      <c r="D167" s="34"/>
      <c r="E167" s="34"/>
      <c r="F167" s="34"/>
      <c r="G167" s="34"/>
      <c r="H167" s="34">
        <f>SUM(H163:H166)</f>
        <v>22183</v>
      </c>
      <c r="I167" s="34">
        <v>3389</v>
      </c>
      <c r="J167" s="34">
        <f>SUM(J163:J166)</f>
        <v>18794</v>
      </c>
      <c r="K167" s="35">
        <f t="shared" si="77"/>
        <v>5.5455886692239602</v>
      </c>
      <c r="M167" s="34">
        <f>SUM(M163:M166)</f>
        <v>2.12</v>
      </c>
      <c r="N167" s="34">
        <f>SUM(N163:N166)</f>
        <v>1694.5</v>
      </c>
      <c r="O167" s="35">
        <f>IF(N167=0,"NA",(+M167-N167)/N167)</f>
        <v>-0.99874889347890239</v>
      </c>
      <c r="P167" s="74"/>
      <c r="Q167" s="78"/>
    </row>
    <row r="168" spans="1:17" ht="7.5" customHeight="1" x14ac:dyDescent="0.25">
      <c r="A168" s="52">
        <v>160</v>
      </c>
      <c r="K168" s="7"/>
      <c r="P168" s="73"/>
      <c r="Q168" s="78"/>
    </row>
    <row r="169" spans="1:17" x14ac:dyDescent="0.25">
      <c r="A169" s="52">
        <v>161</v>
      </c>
      <c r="B169" s="36" t="s">
        <v>100</v>
      </c>
      <c r="C169" s="37"/>
      <c r="D169" s="37"/>
      <c r="E169" s="37"/>
      <c r="F169" s="37"/>
      <c r="G169" s="37"/>
      <c r="H169" s="36">
        <f>+H76+H136+H159+H167+H30</f>
        <v>555637.04</v>
      </c>
      <c r="I169" s="36">
        <v>555637</v>
      </c>
      <c r="J169" s="36">
        <f>+J76+J136+J159+J167+J30</f>
        <v>4.0000000000873115E-2</v>
      </c>
      <c r="K169" s="38">
        <f t="shared" ref="K169" si="78">IF(I169=0,"NA",(+H169-I169)/I169)</f>
        <v>7.1989446414210904E-8</v>
      </c>
      <c r="M169" s="36">
        <f>+M76+M136+M159+M167+M30</f>
        <v>493489.28</v>
      </c>
      <c r="N169" s="36">
        <f>+N76+N136+N159+N167+N30</f>
        <v>506463.88</v>
      </c>
      <c r="O169" s="38">
        <f>IF(N169=0,"NA",(+M169-N169)/N169)</f>
        <v>-2.561801643189239E-2</v>
      </c>
      <c r="P169" s="73"/>
      <c r="Q169" s="78"/>
    </row>
    <row r="170" spans="1:17" x14ac:dyDescent="0.25">
      <c r="A170" s="52">
        <v>162</v>
      </c>
      <c r="B170" s="36" t="s">
        <v>101</v>
      </c>
      <c r="C170" s="37"/>
      <c r="D170" s="37"/>
      <c r="E170" s="37"/>
      <c r="F170" s="37"/>
      <c r="G170" s="37"/>
      <c r="H170" s="36">
        <f>ROUND(+H21-H169,0)</f>
        <v>0</v>
      </c>
      <c r="I170" s="36">
        <v>0</v>
      </c>
      <c r="J170" s="36">
        <f>ROUND(+J21-J169,0)</f>
        <v>0</v>
      </c>
      <c r="K170" s="60"/>
      <c r="M170" s="36">
        <f>+M21-M169</f>
        <v>-6759.75</v>
      </c>
      <c r="N170" s="36">
        <f>+N21-N169</f>
        <v>5409.2799999999697</v>
      </c>
      <c r="O170" s="38">
        <f>IF(N170=0,"NA",(+M170-N170)/N170)</f>
        <v>-2.249657995149084</v>
      </c>
      <c r="P170" s="73"/>
      <c r="Q170" s="79"/>
    </row>
    <row r="171" spans="1:17" x14ac:dyDescent="0.25">
      <c r="K171" s="7"/>
      <c r="P171" s="73"/>
      <c r="Q171" s="78"/>
    </row>
    <row r="172" spans="1:17" x14ac:dyDescent="0.25">
      <c r="K172" s="7"/>
      <c r="P172" s="73"/>
      <c r="Q172" s="78"/>
    </row>
    <row r="173" spans="1:17" x14ac:dyDescent="0.25">
      <c r="F173" s="31"/>
      <c r="K173" s="46"/>
      <c r="P173" s="73"/>
      <c r="Q173" s="78"/>
    </row>
    <row r="174" spans="1:17" x14ac:dyDescent="0.25">
      <c r="K174" s="7"/>
      <c r="P174" s="73"/>
      <c r="Q174" s="78"/>
    </row>
    <row r="175" spans="1:17" x14ac:dyDescent="0.25">
      <c r="F175" s="31"/>
      <c r="K175" s="7"/>
      <c r="P175" s="73"/>
      <c r="Q175" s="78"/>
    </row>
    <row r="176" spans="1:17" x14ac:dyDescent="0.25">
      <c r="K176" s="7"/>
      <c r="P176" s="73"/>
      <c r="Q176" s="78"/>
    </row>
    <row r="177" spans="1:17" x14ac:dyDescent="0.25">
      <c r="D177" s="31"/>
      <c r="K177" s="7"/>
      <c r="P177" s="73"/>
      <c r="Q177" s="78"/>
    </row>
    <row r="178" spans="1:17" x14ac:dyDescent="0.25">
      <c r="K178" s="7"/>
      <c r="P178" s="73"/>
      <c r="Q178" s="78"/>
    </row>
    <row r="179" spans="1:17" x14ac:dyDescent="0.25">
      <c r="A179" s="1"/>
      <c r="B179" s="1"/>
      <c r="K179" s="7"/>
      <c r="O179" s="1"/>
      <c r="P179" s="67"/>
      <c r="Q179" s="78"/>
    </row>
    <row r="180" spans="1:17" x14ac:dyDescent="0.25">
      <c r="A180" s="1"/>
      <c r="B180" s="1"/>
      <c r="K180" s="7"/>
      <c r="O180" s="1"/>
      <c r="P180" s="67"/>
      <c r="Q180" s="78"/>
    </row>
    <row r="181" spans="1:17" x14ac:dyDescent="0.25">
      <c r="A181" s="1"/>
      <c r="B181" s="1"/>
      <c r="K181" s="7"/>
      <c r="O181" s="1"/>
      <c r="P181" s="67"/>
      <c r="Q181" s="44"/>
    </row>
    <row r="182" spans="1:17" x14ac:dyDescent="0.25">
      <c r="A182" s="1"/>
      <c r="B182" s="1"/>
      <c r="K182" s="7"/>
      <c r="O182" s="1"/>
      <c r="P182" s="67"/>
      <c r="Q182" s="44"/>
    </row>
    <row r="183" spans="1:17" x14ac:dyDescent="0.25">
      <c r="A183" s="1"/>
      <c r="B183" s="1"/>
      <c r="K183" s="7"/>
      <c r="O183" s="1"/>
      <c r="P183" s="67"/>
      <c r="Q183" s="44"/>
    </row>
    <row r="184" spans="1:17" x14ac:dyDescent="0.25">
      <c r="A184" s="1"/>
      <c r="B184" s="1"/>
      <c r="K184" s="7"/>
      <c r="O184" s="1"/>
      <c r="P184" s="67"/>
      <c r="Q184" s="44"/>
    </row>
    <row r="185" spans="1:17" x14ac:dyDescent="0.25">
      <c r="A185" s="1"/>
      <c r="B185" s="1"/>
      <c r="K185" s="7"/>
      <c r="O185" s="1"/>
      <c r="P185" s="67"/>
      <c r="Q185" s="44"/>
    </row>
    <row r="186" spans="1:17" x14ac:dyDescent="0.25">
      <c r="A186" s="1"/>
      <c r="B186" s="1"/>
      <c r="K186" s="7"/>
      <c r="O186" s="1"/>
      <c r="P186" s="67"/>
      <c r="Q186" s="44"/>
    </row>
    <row r="187" spans="1:17" x14ac:dyDescent="0.25">
      <c r="A187" s="1"/>
      <c r="B187" s="1"/>
      <c r="K187" s="7"/>
      <c r="O187" s="1"/>
      <c r="P187" s="67"/>
      <c r="Q187" s="44"/>
    </row>
    <row r="188" spans="1:17" x14ac:dyDescent="0.25">
      <c r="A188" s="1"/>
      <c r="B188" s="1"/>
      <c r="K188" s="7"/>
      <c r="O188" s="1"/>
      <c r="P188" s="67"/>
      <c r="Q188" s="44"/>
    </row>
    <row r="189" spans="1:17" x14ac:dyDescent="0.25">
      <c r="A189" s="1"/>
      <c r="B189" s="1"/>
      <c r="K189" s="7"/>
      <c r="O189" s="1"/>
      <c r="P189" s="67"/>
      <c r="Q189" s="44"/>
    </row>
    <row r="190" spans="1:17" x14ac:dyDescent="0.25">
      <c r="A190" s="1"/>
      <c r="B190" s="1"/>
      <c r="K190" s="7"/>
      <c r="O190" s="1"/>
      <c r="P190" s="67"/>
      <c r="Q190" s="44"/>
    </row>
    <row r="191" spans="1:17" x14ac:dyDescent="0.25">
      <c r="A191" s="1"/>
      <c r="B191" s="1"/>
      <c r="K191" s="7"/>
      <c r="O191" s="1"/>
      <c r="P191" s="67"/>
      <c r="Q191" s="44"/>
    </row>
    <row r="192" spans="1:17" x14ac:dyDescent="0.25">
      <c r="A192" s="1"/>
      <c r="B192" s="1"/>
      <c r="K192" s="7"/>
      <c r="O192" s="1"/>
      <c r="P192" s="1"/>
      <c r="Q192" s="44"/>
    </row>
    <row r="193" spans="17:17" x14ac:dyDescent="0.25">
      <c r="Q193" s="44"/>
    </row>
    <row r="194" spans="17:17" x14ac:dyDescent="0.25">
      <c r="Q194" s="78"/>
    </row>
    <row r="195" spans="17:17" x14ac:dyDescent="0.25">
      <c r="Q195" s="78"/>
    </row>
    <row r="196" spans="17:17" x14ac:dyDescent="0.25">
      <c r="Q196" s="78"/>
    </row>
    <row r="197" spans="17:17" x14ac:dyDescent="0.25">
      <c r="Q197" s="78"/>
    </row>
    <row r="198" spans="17:17" x14ac:dyDescent="0.25">
      <c r="Q198" s="78"/>
    </row>
    <row r="199" spans="17:17" x14ac:dyDescent="0.25">
      <c r="Q199" s="78"/>
    </row>
    <row r="200" spans="17:17" x14ac:dyDescent="0.25">
      <c r="Q200" s="78"/>
    </row>
    <row r="201" spans="17:17" x14ac:dyDescent="0.25">
      <c r="Q201" s="78"/>
    </row>
    <row r="202" spans="17:17" x14ac:dyDescent="0.25">
      <c r="Q202" s="78"/>
    </row>
    <row r="203" spans="17:17" x14ac:dyDescent="0.25">
      <c r="Q203" s="78"/>
    </row>
    <row r="204" spans="17:17" x14ac:dyDescent="0.25">
      <c r="Q204" s="78"/>
    </row>
    <row r="205" spans="17:17" x14ac:dyDescent="0.25">
      <c r="Q205" s="78"/>
    </row>
    <row r="206" spans="17:17" x14ac:dyDescent="0.25">
      <c r="Q206" s="78"/>
    </row>
    <row r="207" spans="17:17" x14ac:dyDescent="0.25">
      <c r="Q207" s="78"/>
    </row>
    <row r="208" spans="17:17" x14ac:dyDescent="0.25">
      <c r="Q208" s="78"/>
    </row>
    <row r="209" spans="17:17" x14ac:dyDescent="0.25">
      <c r="Q209" s="78"/>
    </row>
    <row r="210" spans="17:17" x14ac:dyDescent="0.25">
      <c r="Q210" s="78"/>
    </row>
    <row r="211" spans="17:17" x14ac:dyDescent="0.25">
      <c r="Q211" s="78"/>
    </row>
    <row r="212" spans="17:17" x14ac:dyDescent="0.25">
      <c r="Q212" s="78"/>
    </row>
    <row r="213" spans="17:17" x14ac:dyDescent="0.25">
      <c r="Q213" s="78"/>
    </row>
    <row r="214" spans="17:17" x14ac:dyDescent="0.25">
      <c r="Q214" s="78"/>
    </row>
    <row r="215" spans="17:17" x14ac:dyDescent="0.25">
      <c r="Q215" s="78"/>
    </row>
    <row r="216" spans="17:17" x14ac:dyDescent="0.25">
      <c r="Q216" s="78"/>
    </row>
    <row r="217" spans="17:17" x14ac:dyDescent="0.25">
      <c r="Q217" s="78"/>
    </row>
    <row r="218" spans="17:17" x14ac:dyDescent="0.25">
      <c r="Q218" s="78"/>
    </row>
    <row r="219" spans="17:17" x14ac:dyDescent="0.25">
      <c r="Q219" s="78"/>
    </row>
    <row r="220" spans="17:17" x14ac:dyDescent="0.25">
      <c r="Q220" s="78"/>
    </row>
    <row r="221" spans="17:17" x14ac:dyDescent="0.25">
      <c r="Q221" s="78"/>
    </row>
  </sheetData>
  <mergeCells count="11">
    <mergeCell ref="C153:D153"/>
    <mergeCell ref="B1:P1"/>
    <mergeCell ref="G78:G79"/>
    <mergeCell ref="H2:K2"/>
    <mergeCell ref="M2:O2"/>
    <mergeCell ref="J3:K3"/>
    <mergeCell ref="M3:M4"/>
    <mergeCell ref="N3:N4"/>
    <mergeCell ref="O3:O4"/>
    <mergeCell ref="H3:H4"/>
    <mergeCell ref="I3:I4"/>
  </mergeCells>
  <pageMargins left="0" right="0" top="0" bottom="0" header="0.3" footer="0.3"/>
  <pageSetup paperSize="5" scale="66" fitToHeight="0" orientation="landscape" r:id="rId1"/>
  <headerFooter>
    <oddFooter>&amp;C&amp;P of &amp;N&amp;R&amp;D</oddFooter>
  </headerFooter>
  <rowBreaks count="3" manualBreakCount="3">
    <brk id="57" max="16383" man="1"/>
    <brk id="102" max="16383" man="1"/>
    <brk id="136" max="16383" man="1"/>
  </rowBreaks>
  <colBreaks count="1" manualBreakCount="1">
    <brk id="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Top Sheet</vt:lpstr>
      <vt:lpstr>Summary New Year</vt:lpstr>
      <vt:lpstr>New Year-Full Year</vt:lpstr>
      <vt:lpstr>Cur_Month</vt:lpstr>
      <vt:lpstr>Cur_Year</vt:lpstr>
      <vt:lpstr>'New Year-Full Year'!Print_Titles</vt:lpstr>
      <vt:lpstr>'Summary New Year'!Print_Titles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Jacobson, Dawn M.</dc:creator>
  <cp:lastModifiedBy>SC Johnson</cp:lastModifiedBy>
  <cp:lastPrinted>2015-12-14T13:37:55Z</cp:lastPrinted>
  <dcterms:created xsi:type="dcterms:W3CDTF">2011-12-01T18:07:46Z</dcterms:created>
  <dcterms:modified xsi:type="dcterms:W3CDTF">2015-12-17T18:42:12Z</dcterms:modified>
</cp:coreProperties>
</file>